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18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Override PartName="/xl/comments14.xml" ContentType="application/vnd.openxmlformats-officedocument.spreadsheetml.comments+xml"/>
  <Override PartName="/xl/comments23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omments17.xml" ContentType="application/vnd.openxmlformats-officedocument.spreadsheetml.comments+xml"/>
  <Default Extension="vml" ContentType="application/vnd.openxmlformats-officedocument.vmlDrawing"/>
  <Override PartName="/xl/comments1.xml" ContentType="application/vnd.openxmlformats-officedocument.spreadsheetml.comments+xml"/>
  <Override PartName="/xl/comments15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95" windowWidth="15480" windowHeight="8415" tabRatio="865" firstSheet="2" activeTab="5"/>
  </bookViews>
  <sheets>
    <sheet name="第一部分" sheetId="96" r:id="rId1"/>
    <sheet name="01.（全市）一般公共预算 " sheetId="4" r:id="rId2"/>
    <sheet name="02.（本级）一般公共预算" sheetId="1" r:id="rId3"/>
    <sheet name="03.经济分类表" sheetId="55" r:id="rId4"/>
    <sheet name="04.本级对各区税收返还和转移支付情况表" sheetId="48" r:id="rId5"/>
    <sheet name="05.本级对各区税收返还和专项转移支付分区情况表" sheetId="49" r:id="rId6"/>
    <sheet name="06.本级对各区税收返还分区情况表 " sheetId="50" r:id="rId7"/>
    <sheet name="07.本级对各区一般性转移支付分区情况表" sheetId="51" r:id="rId8"/>
    <sheet name="08.本级对各区专项转移支付分区情况表" sheetId="52" r:id="rId9"/>
    <sheet name="09.债务余额" sheetId="100" r:id="rId10"/>
    <sheet name="第二部分" sheetId="99" r:id="rId11"/>
    <sheet name="10.（本级）政府性基金" sheetId="2" r:id="rId12"/>
    <sheet name="11.政府性基金对区转移支付表" sheetId="53" r:id="rId13"/>
    <sheet name="12.国土基金对区转移支付表 " sheetId="54" r:id="rId14"/>
    <sheet name="第三部分" sheetId="97" r:id="rId15"/>
    <sheet name="13.国资预算" sheetId="92" r:id="rId16"/>
    <sheet name="14.国资预算明细表" sheetId="93" r:id="rId17"/>
    <sheet name="第四部分" sheetId="98" r:id="rId18"/>
    <sheet name="15.目录" sheetId="64" r:id="rId19"/>
    <sheet name="16.资产负债表" sheetId="65" r:id="rId20"/>
    <sheet name="17.职工养老" sheetId="66" r:id="rId21"/>
    <sheet name="18.机关养老" sheetId="67" r:id="rId22"/>
    <sheet name="19.居民养老" sheetId="68" r:id="rId23"/>
    <sheet name="20.职工医疗" sheetId="69" r:id="rId24"/>
    <sheet name="21.城乡居民医疗" sheetId="70" r:id="rId25"/>
    <sheet name="22.新农合" sheetId="71" r:id="rId26"/>
    <sheet name="23.城镇居民医疗" sheetId="72" r:id="rId27"/>
    <sheet name="24.工伤" sheetId="73" r:id="rId28"/>
    <sheet name="25.失业" sheetId="74" r:id="rId29"/>
    <sheet name="26.生育" sheetId="75" r:id="rId30"/>
    <sheet name="27.财政专户资负表" sheetId="76" r:id="rId31"/>
    <sheet name="28.财政专户收支表" sheetId="77" r:id="rId32"/>
    <sheet name="29.财政补助资金表" sheetId="78" r:id="rId33"/>
    <sheet name="30.基本养老补充资料表" sheetId="79" r:id="rId34"/>
    <sheet name="31.职工医疗工伤生育补充资料表" sheetId="80" r:id="rId35"/>
    <sheet name="32.居民医疗补充资料表" sheetId="81" r:id="rId36"/>
    <sheet name="33.失业补充资料表" sheetId="82" r:id="rId37"/>
    <sheet name="34.其他养老保险表" sheetId="83" r:id="rId38"/>
    <sheet name="35.其他医疗保障表" sheetId="84" r:id="rId39"/>
    <sheet name="36.自有目录" sheetId="85" r:id="rId40"/>
    <sheet name="37.自有资负表" sheetId="86" r:id="rId41"/>
    <sheet name="38.机关养老 (2)" sheetId="87" r:id="rId42"/>
    <sheet name="39.地补养老" sheetId="88" r:id="rId43"/>
    <sheet name="40.地补医疗" sheetId="89" r:id="rId44"/>
    <sheet name="41.自有基础资料表" sheetId="90" r:id="rId45"/>
  </sheets>
  <definedNames>
    <definedName name="_xlnm.Print_Area" localSheetId="1">'01.（全市）一般公共预算 '!$A$1:$O$41</definedName>
    <definedName name="_xlnm.Print_Area" localSheetId="2">'02.（本级）一般公共预算'!$A$1:$O$1403</definedName>
    <definedName name="_xlnm.Print_Area" localSheetId="3">'03.经济分类表'!$A$1:$C$109</definedName>
    <definedName name="_xlnm.Print_Area" localSheetId="5">'05.本级对各区税收返还和专项转移支付分区情况表'!$A$1:$E$16</definedName>
    <definedName name="_xlnm.Print_Area" localSheetId="9">'09.债务余额'!$A$1:$G$15</definedName>
    <definedName name="_xlnm.Print_Area" localSheetId="11">'10.（本级）政府性基金'!$A$1:$N$81</definedName>
    <definedName name="_xlnm.Print_Area" localSheetId="15">'13.国资预算'!$A$1:$F$21</definedName>
    <definedName name="_xlnm.Print_Area" localSheetId="16">'14.国资预算明细表'!$A$1:$D$129</definedName>
    <definedName name="_xlnm.Print_Titles" localSheetId="1">'01.（全市）一般公共预算 '!$1:$3</definedName>
    <definedName name="_xlnm.Print_Titles" localSheetId="2">'02.（本级）一般公共预算'!$1:$3</definedName>
    <definedName name="_xlnm.Print_Titles" localSheetId="3">'03.经济分类表'!$1:$5</definedName>
    <definedName name="_xlnm.Print_Titles" localSheetId="11">'10.（本级）政府性基金'!$1:$3</definedName>
    <definedName name="_xlnm.Print_Titles" localSheetId="16">'14.国资预算明细表'!$1:$3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13">#REF!</definedName>
    <definedName name="地区名称">#REF!</definedName>
  </definedNames>
  <calcPr calcId="125725" iterate="1"/>
</workbook>
</file>

<file path=xl/calcChain.xml><?xml version="1.0" encoding="utf-8"?>
<calcChain xmlns="http://schemas.openxmlformats.org/spreadsheetml/2006/main">
  <c r="C13" i="100"/>
  <c r="C12"/>
  <c r="C11"/>
  <c r="C10"/>
  <c r="C9"/>
  <c r="C8" s="1"/>
  <c r="G8"/>
  <c r="F8"/>
  <c r="C7"/>
  <c r="G6"/>
  <c r="F6"/>
  <c r="L31" i="4"/>
  <c r="L47" s="1"/>
  <c r="K35"/>
  <c r="K38"/>
  <c r="M37"/>
  <c r="M36"/>
  <c r="J38"/>
  <c r="B86" i="2"/>
  <c r="C76"/>
  <c r="C75" s="1"/>
  <c r="C81" s="1"/>
  <c r="C84" s="1"/>
  <c r="J76"/>
  <c r="J78"/>
  <c r="J7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4"/>
  <c r="G1397" i="1"/>
  <c r="M1399"/>
  <c r="M1398"/>
  <c r="J1392"/>
  <c r="J1403" s="1"/>
  <c r="B1403"/>
  <c r="B1392"/>
  <c r="M35" i="4"/>
  <c r="J46"/>
  <c r="N29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4"/>
  <c r="K29"/>
  <c r="K46" s="1"/>
  <c r="L29"/>
  <c r="L46" s="1"/>
  <c r="J29"/>
  <c r="D134" i="93"/>
  <c r="D133"/>
  <c r="B134"/>
  <c r="B133"/>
  <c r="F24" i="92"/>
  <c r="F25"/>
  <c r="C25"/>
  <c r="C24"/>
  <c r="B25"/>
  <c r="N71" i="2"/>
  <c r="N53"/>
  <c r="N48"/>
  <c r="N49"/>
  <c r="N12"/>
  <c r="B84"/>
  <c r="C44"/>
  <c r="D44"/>
  <c r="D85" s="1"/>
  <c r="B44"/>
  <c r="E45"/>
  <c r="E36"/>
  <c r="N52"/>
  <c r="G79"/>
  <c r="G78"/>
  <c r="G77"/>
  <c r="G76"/>
  <c r="E77"/>
  <c r="F75"/>
  <c r="F86" s="1"/>
  <c r="N78"/>
  <c r="M75"/>
  <c r="M86" s="1"/>
  <c r="N61"/>
  <c r="N62"/>
  <c r="N63"/>
  <c r="N64"/>
  <c r="E1394" i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6"/>
  <c r="O5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6"/>
  <c r="M7"/>
  <c r="M8"/>
  <c r="M9"/>
  <c r="M10"/>
  <c r="M11"/>
  <c r="M12"/>
  <c r="M13"/>
  <c r="M14"/>
  <c r="M15"/>
  <c r="M16"/>
  <c r="M5"/>
  <c r="M1394"/>
  <c r="C6" i="100" l="1"/>
  <c r="C86" i="2"/>
  <c r="O29" i="4"/>
  <c r="N46"/>
  <c r="L41"/>
  <c r="C23" i="92"/>
  <c r="F23"/>
  <c r="B21"/>
  <c r="E15"/>
  <c r="E25" s="1"/>
  <c r="K31" i="4"/>
  <c r="J31"/>
  <c r="J41" s="1"/>
  <c r="F47"/>
  <c r="F46"/>
  <c r="F45"/>
  <c r="D47"/>
  <c r="D46"/>
  <c r="D45"/>
  <c r="C47"/>
  <c r="C46"/>
  <c r="B47"/>
  <c r="B46"/>
  <c r="C29"/>
  <c r="C45" s="1"/>
  <c r="B29"/>
  <c r="B45" s="1"/>
  <c r="B31"/>
  <c r="B48" s="1"/>
  <c r="K1392" i="1"/>
  <c r="L1406"/>
  <c r="K1406"/>
  <c r="J1407"/>
  <c r="J1405"/>
  <c r="C1406"/>
  <c r="D1406"/>
  <c r="C1407"/>
  <c r="D1407"/>
  <c r="C1408"/>
  <c r="D1408"/>
  <c r="B1408"/>
  <c r="B1407"/>
  <c r="B1406"/>
  <c r="B1405"/>
  <c r="D8" i="89"/>
  <c r="B6"/>
  <c r="D5"/>
  <c r="D10" s="1"/>
  <c r="D13" s="1"/>
  <c r="B5"/>
  <c r="B10" s="1"/>
  <c r="B13" s="1"/>
  <c r="D12" i="88"/>
  <c r="D15" s="1"/>
  <c r="B12"/>
  <c r="B15" s="1"/>
  <c r="D13" i="87"/>
  <c r="D10"/>
  <c r="B10"/>
  <c r="B13" s="1"/>
  <c r="C15" i="86"/>
  <c r="B15"/>
  <c r="C14"/>
  <c r="B14"/>
  <c r="I13"/>
  <c r="H13"/>
  <c r="G13"/>
  <c r="F13"/>
  <c r="E13"/>
  <c r="C13" s="1"/>
  <c r="D13"/>
  <c r="B13" s="1"/>
  <c r="I12"/>
  <c r="C12" s="1"/>
  <c r="B12"/>
  <c r="C11"/>
  <c r="B11"/>
  <c r="C10"/>
  <c r="B10"/>
  <c r="I9"/>
  <c r="G9"/>
  <c r="G6" s="1"/>
  <c r="B9"/>
  <c r="I8"/>
  <c r="C8" s="1"/>
  <c r="B8"/>
  <c r="C7"/>
  <c r="B7"/>
  <c r="H6"/>
  <c r="H16" s="1"/>
  <c r="F6"/>
  <c r="F16" s="1"/>
  <c r="E6"/>
  <c r="D6"/>
  <c r="B6"/>
  <c r="C21" i="84"/>
  <c r="F19"/>
  <c r="F20" s="1"/>
  <c r="F12"/>
  <c r="C12"/>
  <c r="F11"/>
  <c r="C10"/>
  <c r="C11" s="1"/>
  <c r="F4"/>
  <c r="D10" i="83"/>
  <c r="D11" s="1"/>
  <c r="C10"/>
  <c r="C11" s="1"/>
  <c r="F19" i="82"/>
  <c r="F18"/>
  <c r="C13"/>
  <c r="C26" i="80"/>
  <c r="F24"/>
  <c r="F23" s="1"/>
  <c r="Q9" i="65" s="1"/>
  <c r="C23" i="80"/>
  <c r="C19"/>
  <c r="C18" s="1"/>
  <c r="I9" i="65" s="1"/>
  <c r="C16" i="80"/>
  <c r="F15"/>
  <c r="M9" i="65" s="1"/>
  <c r="C5" i="80"/>
  <c r="C44" i="79"/>
  <c r="E9" i="65" s="1"/>
  <c r="F37" i="79"/>
  <c r="C31"/>
  <c r="C24"/>
  <c r="F19"/>
  <c r="F16"/>
  <c r="F17" s="1"/>
  <c r="C15"/>
  <c r="F10"/>
  <c r="F11" s="1"/>
  <c r="C7"/>
  <c r="C5" s="1"/>
  <c r="L21" i="78"/>
  <c r="K21"/>
  <c r="J21"/>
  <c r="I21"/>
  <c r="H21"/>
  <c r="G21"/>
  <c r="F21"/>
  <c r="E21"/>
  <c r="D21"/>
  <c r="C21"/>
  <c r="B21"/>
  <c r="L20"/>
  <c r="K20"/>
  <c r="J20"/>
  <c r="I20"/>
  <c r="I18" s="1"/>
  <c r="H20"/>
  <c r="G20"/>
  <c r="F20"/>
  <c r="E20"/>
  <c r="E18" s="1"/>
  <c r="D20"/>
  <c r="C20"/>
  <c r="L19"/>
  <c r="L18" s="1"/>
  <c r="K19"/>
  <c r="K18" s="1"/>
  <c r="J19"/>
  <c r="I19"/>
  <c r="H19"/>
  <c r="H18" s="1"/>
  <c r="G19"/>
  <c r="G18" s="1"/>
  <c r="F19"/>
  <c r="E19"/>
  <c r="D19"/>
  <c r="D18" s="1"/>
  <c r="C19"/>
  <c r="B19" s="1"/>
  <c r="B17"/>
  <c r="B16"/>
  <c r="B15"/>
  <c r="L14"/>
  <c r="K14"/>
  <c r="J14"/>
  <c r="I14"/>
  <c r="H14"/>
  <c r="G14"/>
  <c r="F14"/>
  <c r="E14"/>
  <c r="D14"/>
  <c r="C14"/>
  <c r="B14" s="1"/>
  <c r="B13"/>
  <c r="B12"/>
  <c r="B11"/>
  <c r="B10"/>
  <c r="L9"/>
  <c r="K9"/>
  <c r="J9"/>
  <c r="I9"/>
  <c r="H9"/>
  <c r="G9"/>
  <c r="F9"/>
  <c r="E9"/>
  <c r="D9"/>
  <c r="C9"/>
  <c r="B8"/>
  <c r="B7"/>
  <c r="B6"/>
  <c r="L5"/>
  <c r="K5"/>
  <c r="J5"/>
  <c r="I5"/>
  <c r="H5"/>
  <c r="G5"/>
  <c r="F5"/>
  <c r="E5"/>
  <c r="D5"/>
  <c r="C5"/>
  <c r="B5"/>
  <c r="Q13" i="77"/>
  <c r="Q14" s="1"/>
  <c r="P13"/>
  <c r="P14" s="1"/>
  <c r="O13"/>
  <c r="O14" s="1"/>
  <c r="N13"/>
  <c r="N14" s="1"/>
  <c r="M13"/>
  <c r="M14" s="1"/>
  <c r="L13"/>
  <c r="L14" s="1"/>
  <c r="K13"/>
  <c r="K14" s="1"/>
  <c r="J13"/>
  <c r="J14" s="1"/>
  <c r="I13"/>
  <c r="I14" s="1"/>
  <c r="H13"/>
  <c r="H14" s="1"/>
  <c r="G13"/>
  <c r="G14" s="1"/>
  <c r="F13"/>
  <c r="F14" s="1"/>
  <c r="E13"/>
  <c r="E14" s="1"/>
  <c r="D13"/>
  <c r="D14" s="1"/>
  <c r="C13"/>
  <c r="C14" s="1"/>
  <c r="B13"/>
  <c r="B12"/>
  <c r="B11"/>
  <c r="B10"/>
  <c r="B9"/>
  <c r="B8"/>
  <c r="B7"/>
  <c r="B6"/>
  <c r="B5"/>
  <c r="B27" i="76"/>
  <c r="B26"/>
  <c r="Q25"/>
  <c r="P25"/>
  <c r="O25"/>
  <c r="N25"/>
  <c r="M25"/>
  <c r="L25"/>
  <c r="K25"/>
  <c r="J25"/>
  <c r="I25"/>
  <c r="H25"/>
  <c r="G25"/>
  <c r="F25"/>
  <c r="E25"/>
  <c r="D25"/>
  <c r="C25"/>
  <c r="B24"/>
  <c r="B23"/>
  <c r="B22"/>
  <c r="B21"/>
  <c r="B20"/>
  <c r="B19"/>
  <c r="Q18"/>
  <c r="P18"/>
  <c r="O18"/>
  <c r="N18"/>
  <c r="M18"/>
  <c r="L18"/>
  <c r="K18"/>
  <c r="J18"/>
  <c r="I18"/>
  <c r="H18"/>
  <c r="G18"/>
  <c r="F18"/>
  <c r="E18"/>
  <c r="B18" s="1"/>
  <c r="D18"/>
  <c r="C18"/>
  <c r="B15"/>
  <c r="B14"/>
  <c r="Q13"/>
  <c r="P13"/>
  <c r="O13"/>
  <c r="N13"/>
  <c r="M13"/>
  <c r="L13"/>
  <c r="K13"/>
  <c r="J13"/>
  <c r="I13"/>
  <c r="H13"/>
  <c r="G13"/>
  <c r="F13"/>
  <c r="E13"/>
  <c r="D13"/>
  <c r="C13"/>
  <c r="B13" s="1"/>
  <c r="B12"/>
  <c r="B11"/>
  <c r="B10"/>
  <c r="B9"/>
  <c r="B8"/>
  <c r="B7"/>
  <c r="Q6"/>
  <c r="Q16" s="1"/>
  <c r="P6"/>
  <c r="P16" s="1"/>
  <c r="O6"/>
  <c r="N6"/>
  <c r="N16" s="1"/>
  <c r="M6"/>
  <c r="M16" s="1"/>
  <c r="L6"/>
  <c r="L16" s="1"/>
  <c r="K6"/>
  <c r="J6"/>
  <c r="J16" s="1"/>
  <c r="I6"/>
  <c r="I16" s="1"/>
  <c r="H6"/>
  <c r="H16" s="1"/>
  <c r="G6"/>
  <c r="F6"/>
  <c r="F16" s="1"/>
  <c r="E6"/>
  <c r="E16" s="1"/>
  <c r="D6"/>
  <c r="D16" s="1"/>
  <c r="C6"/>
  <c r="B6" i="75"/>
  <c r="B10" s="1"/>
  <c r="B13" s="1"/>
  <c r="D5"/>
  <c r="D10" s="1"/>
  <c r="D13" s="1"/>
  <c r="B5"/>
  <c r="D17" i="74"/>
  <c r="B17"/>
  <c r="D18" s="1"/>
  <c r="D20" s="1"/>
  <c r="D14"/>
  <c r="B14"/>
  <c r="D14" i="73"/>
  <c r="B14"/>
  <c r="D15" s="1"/>
  <c r="D16" s="1"/>
  <c r="D11"/>
  <c r="B11"/>
  <c r="B12" i="72"/>
  <c r="B15" s="1"/>
  <c r="D5"/>
  <c r="D12" s="1"/>
  <c r="D15" s="1"/>
  <c r="B8" i="70"/>
  <c r="B12" s="1"/>
  <c r="B15" s="1"/>
  <c r="D5"/>
  <c r="D12" s="1"/>
  <c r="D15" s="1"/>
  <c r="C17" i="69"/>
  <c r="B17" s="1"/>
  <c r="I14"/>
  <c r="H14"/>
  <c r="C14"/>
  <c r="B14" s="1"/>
  <c r="I13"/>
  <c r="H13"/>
  <c r="C13"/>
  <c r="B13" s="1"/>
  <c r="K12"/>
  <c r="K15" s="1"/>
  <c r="F12"/>
  <c r="F15" s="1"/>
  <c r="K11"/>
  <c r="I11" s="1"/>
  <c r="H11" s="1"/>
  <c r="E11"/>
  <c r="C11" s="1"/>
  <c r="B11" s="1"/>
  <c r="C10"/>
  <c r="B10"/>
  <c r="I9"/>
  <c r="H9" s="1"/>
  <c r="E9"/>
  <c r="D9"/>
  <c r="I8"/>
  <c r="H8"/>
  <c r="C8"/>
  <c r="B8" s="1"/>
  <c r="I7"/>
  <c r="H7"/>
  <c r="E7"/>
  <c r="E12" s="1"/>
  <c r="E15" s="1"/>
  <c r="D7"/>
  <c r="L6"/>
  <c r="L12" s="1"/>
  <c r="L15" s="1"/>
  <c r="K6"/>
  <c r="J6"/>
  <c r="J12" s="1"/>
  <c r="J15" s="1"/>
  <c r="E6"/>
  <c r="D6"/>
  <c r="C6"/>
  <c r="B6" s="1"/>
  <c r="D13" i="68"/>
  <c r="D16" s="1"/>
  <c r="B8"/>
  <c r="B13" s="1"/>
  <c r="B16" s="1"/>
  <c r="B13" i="67"/>
  <c r="D10"/>
  <c r="D13" s="1"/>
  <c r="B10"/>
  <c r="D12" i="66"/>
  <c r="D15" s="1"/>
  <c r="B12"/>
  <c r="B15" s="1"/>
  <c r="D16" s="1"/>
  <c r="D17" s="1"/>
  <c r="I15" i="65"/>
  <c r="C15"/>
  <c r="B15"/>
  <c r="C14"/>
  <c r="B14"/>
  <c r="Q13"/>
  <c r="P13"/>
  <c r="O13"/>
  <c r="N13"/>
  <c r="M13"/>
  <c r="L13"/>
  <c r="K13"/>
  <c r="J13"/>
  <c r="I13"/>
  <c r="H13"/>
  <c r="G13"/>
  <c r="F13"/>
  <c r="E13"/>
  <c r="D13"/>
  <c r="B13" s="1"/>
  <c r="Q12"/>
  <c r="P12"/>
  <c r="O12"/>
  <c r="N12"/>
  <c r="N6" s="1"/>
  <c r="N16" s="1"/>
  <c r="M12"/>
  <c r="L12"/>
  <c r="K12"/>
  <c r="J12"/>
  <c r="J6" s="1"/>
  <c r="J16" s="1"/>
  <c r="I12"/>
  <c r="H12"/>
  <c r="G12"/>
  <c r="F12"/>
  <c r="F6" s="1"/>
  <c r="F16" s="1"/>
  <c r="E12"/>
  <c r="D12"/>
  <c r="C11"/>
  <c r="B11"/>
  <c r="I10"/>
  <c r="C10" s="1"/>
  <c r="B10"/>
  <c r="O9"/>
  <c r="O6" s="1"/>
  <c r="K9"/>
  <c r="G9"/>
  <c r="B9"/>
  <c r="Q8"/>
  <c r="I8"/>
  <c r="C8" s="1"/>
  <c r="B8"/>
  <c r="C7"/>
  <c r="B7"/>
  <c r="P6"/>
  <c r="L6"/>
  <c r="H6"/>
  <c r="D6"/>
  <c r="E15" i="50"/>
  <c r="E15" i="51"/>
  <c r="E15" i="52"/>
  <c r="J75" i="2"/>
  <c r="K75"/>
  <c r="K81" s="1"/>
  <c r="D75"/>
  <c r="D86" s="1"/>
  <c r="E14" i="51"/>
  <c r="E13"/>
  <c r="E12"/>
  <c r="E11"/>
  <c r="E10"/>
  <c r="E9"/>
  <c r="E8"/>
  <c r="E7"/>
  <c r="E6"/>
  <c r="E5"/>
  <c r="D16"/>
  <c r="E6" i="52"/>
  <c r="E7"/>
  <c r="E8"/>
  <c r="E9"/>
  <c r="E10"/>
  <c r="E11"/>
  <c r="E12"/>
  <c r="E13"/>
  <c r="E14"/>
  <c r="E5"/>
  <c r="D16"/>
  <c r="E6" i="50"/>
  <c r="E7"/>
  <c r="E8"/>
  <c r="E9"/>
  <c r="E10"/>
  <c r="E11"/>
  <c r="E12"/>
  <c r="E13"/>
  <c r="E14"/>
  <c r="E5"/>
  <c r="D16"/>
  <c r="E6" i="49"/>
  <c r="E7"/>
  <c r="E8"/>
  <c r="E9"/>
  <c r="E10"/>
  <c r="E11"/>
  <c r="E12"/>
  <c r="E13"/>
  <c r="E14"/>
  <c r="E5"/>
  <c r="D16"/>
  <c r="E16" s="1"/>
  <c r="C5" i="48"/>
  <c r="C31" i="4"/>
  <c r="C48" s="1"/>
  <c r="C1398" i="1"/>
  <c r="C1392" s="1"/>
  <c r="C1403" s="1"/>
  <c r="L1400"/>
  <c r="D1392"/>
  <c r="D1403" s="1"/>
  <c r="E6" i="54"/>
  <c r="E7"/>
  <c r="E8"/>
  <c r="E9"/>
  <c r="E10"/>
  <c r="E11"/>
  <c r="E12"/>
  <c r="E13"/>
  <c r="E14"/>
  <c r="E15"/>
  <c r="E5"/>
  <c r="C15"/>
  <c r="E6" i="53"/>
  <c r="E7"/>
  <c r="E8"/>
  <c r="E9"/>
  <c r="E10"/>
  <c r="E11"/>
  <c r="E12"/>
  <c r="E13"/>
  <c r="E14"/>
  <c r="E5"/>
  <c r="C15"/>
  <c r="C16" i="52"/>
  <c r="C16" i="51"/>
  <c r="C16" i="50"/>
  <c r="C16" i="49"/>
  <c r="D6" i="48"/>
  <c r="D7"/>
  <c r="D8"/>
  <c r="D9"/>
  <c r="D10"/>
  <c r="D11"/>
  <c r="D12"/>
  <c r="D13"/>
  <c r="D14"/>
  <c r="D15"/>
  <c r="D16"/>
  <c r="D17"/>
  <c r="D18"/>
  <c r="D19"/>
  <c r="D5"/>
  <c r="B19"/>
  <c r="D15" i="54"/>
  <c r="D15" i="53"/>
  <c r="E15" s="1"/>
  <c r="P16" i="65" l="1"/>
  <c r="E16" i="51"/>
  <c r="C13" i="65"/>
  <c r="B6" i="76"/>
  <c r="C28"/>
  <c r="G28"/>
  <c r="K28"/>
  <c r="O28"/>
  <c r="B9" i="78"/>
  <c r="B20"/>
  <c r="D16" i="86"/>
  <c r="D1405" i="1"/>
  <c r="K1407"/>
  <c r="K1403"/>
  <c r="K1405" s="1"/>
  <c r="C18" i="78"/>
  <c r="E16" i="50"/>
  <c r="C7" i="69"/>
  <c r="B7" s="1"/>
  <c r="F18" i="78"/>
  <c r="J18"/>
  <c r="B18" s="1"/>
  <c r="L1401" i="1"/>
  <c r="M1401" s="1"/>
  <c r="M1400"/>
  <c r="I6" i="69"/>
  <c r="H6" s="1"/>
  <c r="L1392" i="1"/>
  <c r="E16" i="52"/>
  <c r="L16" i="65"/>
  <c r="C9" i="69"/>
  <c r="B9" s="1"/>
  <c r="C16" i="76"/>
  <c r="B16" s="1"/>
  <c r="G16"/>
  <c r="K16"/>
  <c r="O16"/>
  <c r="D28"/>
  <c r="H28"/>
  <c r="L28"/>
  <c r="P28"/>
  <c r="B25"/>
  <c r="C1405" i="1"/>
  <c r="L45" i="4"/>
  <c r="K47"/>
  <c r="B23" i="92"/>
  <c r="B24"/>
  <c r="E21"/>
  <c r="J86" i="2"/>
  <c r="J81"/>
  <c r="J87" s="1"/>
  <c r="K86"/>
  <c r="N75"/>
  <c r="K84"/>
  <c r="L75"/>
  <c r="G75"/>
  <c r="E75"/>
  <c r="D81"/>
  <c r="D84" s="1"/>
  <c r="G6" i="65"/>
  <c r="C12"/>
  <c r="K6"/>
  <c r="B6"/>
  <c r="B12"/>
  <c r="B16" i="86"/>
  <c r="K41" i="4"/>
  <c r="J45"/>
  <c r="J47"/>
  <c r="C41"/>
  <c r="B41"/>
  <c r="D16" i="65"/>
  <c r="M6"/>
  <c r="M16" s="1"/>
  <c r="H16"/>
  <c r="Q6"/>
  <c r="Q16" s="1"/>
  <c r="O16"/>
  <c r="I6"/>
  <c r="B19" i="68"/>
  <c r="D17"/>
  <c r="D18" s="1"/>
  <c r="F18" i="69"/>
  <c r="L16"/>
  <c r="L17" s="1"/>
  <c r="B18" i="70"/>
  <c r="D16"/>
  <c r="D17" s="1"/>
  <c r="K16" i="65" s="1"/>
  <c r="B16" i="87"/>
  <c r="D14"/>
  <c r="D15" s="1"/>
  <c r="E18" i="69"/>
  <c r="K16"/>
  <c r="K17" s="1"/>
  <c r="K18" s="1"/>
  <c r="B16" i="75"/>
  <c r="D14"/>
  <c r="D15" s="1"/>
  <c r="B18" i="88"/>
  <c r="D16"/>
  <c r="D17" s="1"/>
  <c r="G16" i="86" s="1"/>
  <c r="D18" i="66"/>
  <c r="D14" i="67"/>
  <c r="D15" s="1"/>
  <c r="D16" i="72"/>
  <c r="D17" s="1"/>
  <c r="D18" s="1"/>
  <c r="D18" i="73"/>
  <c r="D21" i="74"/>
  <c r="F28" i="76"/>
  <c r="J28"/>
  <c r="N28"/>
  <c r="B14" i="77"/>
  <c r="I15" i="69"/>
  <c r="H15" s="1"/>
  <c r="C9" i="65"/>
  <c r="E6"/>
  <c r="B16" i="89"/>
  <c r="D14"/>
  <c r="D15" s="1"/>
  <c r="D16" s="1"/>
  <c r="L18" i="69"/>
  <c r="D16" i="75"/>
  <c r="D16" i="67"/>
  <c r="E28" i="76"/>
  <c r="I28"/>
  <c r="M28"/>
  <c r="Q28"/>
  <c r="D16" i="87"/>
  <c r="B18" i="66"/>
  <c r="B16" i="67"/>
  <c r="B18" i="72"/>
  <c r="B18" i="73"/>
  <c r="B21" i="74"/>
  <c r="I6" i="86"/>
  <c r="I16" s="1"/>
  <c r="E16"/>
  <c r="D12" i="69"/>
  <c r="I12"/>
  <c r="H12" s="1"/>
  <c r="C9" i="86"/>
  <c r="J1317" i="1"/>
  <c r="J1309"/>
  <c r="J1308"/>
  <c r="J1187"/>
  <c r="J1185"/>
  <c r="J1161"/>
  <c r="J1160"/>
  <c r="J1154"/>
  <c r="J1084"/>
  <c r="J1083"/>
  <c r="J1081"/>
  <c r="J1013"/>
  <c r="J1012"/>
  <c r="J1010"/>
  <c r="J885"/>
  <c r="J884"/>
  <c r="J883"/>
  <c r="J861"/>
  <c r="J860"/>
  <c r="J859"/>
  <c r="J778"/>
  <c r="J777"/>
  <c r="J779"/>
  <c r="J707"/>
  <c r="J706"/>
  <c r="J705"/>
  <c r="J588"/>
  <c r="J587"/>
  <c r="J584"/>
  <c r="J532"/>
  <c r="J531"/>
  <c r="J527"/>
  <c r="J477"/>
  <c r="J476"/>
  <c r="J475"/>
  <c r="J422"/>
  <c r="C85" i="2"/>
  <c r="B85"/>
  <c r="I27"/>
  <c r="L1407" i="1" l="1"/>
  <c r="L1403"/>
  <c r="D18" i="70"/>
  <c r="D18" i="88"/>
  <c r="K48" i="4"/>
  <c r="K45"/>
  <c r="B44"/>
  <c r="J48"/>
  <c r="E23" i="92"/>
  <c r="E24"/>
  <c r="J84" i="2"/>
  <c r="K87"/>
  <c r="B16" i="65"/>
  <c r="G16"/>
  <c r="J1406" i="1"/>
  <c r="C44" i="4"/>
  <c r="B28" i="76"/>
  <c r="C12" i="69"/>
  <c r="B12" s="1"/>
  <c r="D15"/>
  <c r="C16" i="86"/>
  <c r="D19" i="68"/>
  <c r="E16" i="65"/>
  <c r="C6"/>
  <c r="C6" i="86"/>
  <c r="I78" i="2"/>
  <c r="I86" s="1"/>
  <c r="N24"/>
  <c r="M17"/>
  <c r="M16" s="1"/>
  <c r="N16" s="1"/>
  <c r="M7"/>
  <c r="N7" s="1"/>
  <c r="F39"/>
  <c r="G39" s="1"/>
  <c r="F30"/>
  <c r="G30" s="1"/>
  <c r="F10"/>
  <c r="G10" s="1"/>
  <c r="N1392" i="1"/>
  <c r="N1390"/>
  <c r="N1406" s="1"/>
  <c r="F1392"/>
  <c r="G1392" s="1"/>
  <c r="F16"/>
  <c r="F4"/>
  <c r="F1407" s="1"/>
  <c r="N31" i="4"/>
  <c r="F31"/>
  <c r="D31"/>
  <c r="G4"/>
  <c r="N8" i="2"/>
  <c r="N9"/>
  <c r="N10"/>
  <c r="N11"/>
  <c r="N18"/>
  <c r="N19"/>
  <c r="N20"/>
  <c r="N21"/>
  <c r="N22"/>
  <c r="N25"/>
  <c r="N26"/>
  <c r="N27"/>
  <c r="N28"/>
  <c r="N29"/>
  <c r="N30"/>
  <c r="N32"/>
  <c r="N33"/>
  <c r="N34"/>
  <c r="N35"/>
  <c r="N36"/>
  <c r="N37"/>
  <c r="N38"/>
  <c r="N39"/>
  <c r="N43"/>
  <c r="N44"/>
  <c r="N46"/>
  <c r="N47"/>
  <c r="N50"/>
  <c r="N51"/>
  <c r="N55"/>
  <c r="N56"/>
  <c r="N57"/>
  <c r="N58"/>
  <c r="N59"/>
  <c r="N60"/>
  <c r="N65"/>
  <c r="N67"/>
  <c r="N68"/>
  <c r="N69"/>
  <c r="N70"/>
  <c r="N72"/>
  <c r="N76"/>
  <c r="N77"/>
  <c r="N79"/>
  <c r="E1390" i="1"/>
  <c r="M1392"/>
  <c r="E4" i="4"/>
  <c r="E5"/>
  <c r="G5"/>
  <c r="E6"/>
  <c r="G6"/>
  <c r="E7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G20"/>
  <c r="E21"/>
  <c r="G21"/>
  <c r="E22"/>
  <c r="G22"/>
  <c r="E29"/>
  <c r="G29"/>
  <c r="O31"/>
  <c r="M31"/>
  <c r="E32"/>
  <c r="G32"/>
  <c r="M32"/>
  <c r="O32"/>
  <c r="E33"/>
  <c r="G33"/>
  <c r="M33"/>
  <c r="O33"/>
  <c r="M34"/>
  <c r="O34"/>
  <c r="E35"/>
  <c r="G35"/>
  <c r="O35"/>
  <c r="E36"/>
  <c r="G36"/>
  <c r="E37"/>
  <c r="G37"/>
  <c r="J43"/>
  <c r="M38"/>
  <c r="O38"/>
  <c r="M41"/>
  <c r="L76" i="2"/>
  <c r="L79"/>
  <c r="L78"/>
  <c r="M1396" i="1"/>
  <c r="M1395"/>
  <c r="M1393"/>
  <c r="E1399"/>
  <c r="E1398"/>
  <c r="E1397"/>
  <c r="E1393"/>
  <c r="E76" i="2"/>
  <c r="E12"/>
  <c r="E14"/>
  <c r="E16"/>
  <c r="E40"/>
  <c r="E41"/>
  <c r="G7"/>
  <c r="G8"/>
  <c r="G9"/>
  <c r="G12"/>
  <c r="G13"/>
  <c r="G14"/>
  <c r="G16"/>
  <c r="G17"/>
  <c r="G19"/>
  <c r="G20"/>
  <c r="G21"/>
  <c r="G22"/>
  <c r="G23"/>
  <c r="G24"/>
  <c r="G26"/>
  <c r="G27"/>
  <c r="G31"/>
  <c r="G34"/>
  <c r="G36"/>
  <c r="G37"/>
  <c r="G38"/>
  <c r="G40"/>
  <c r="G41"/>
  <c r="G6"/>
  <c r="O1401" i="1"/>
  <c r="O1400"/>
  <c r="O1398"/>
  <c r="O1396"/>
  <c r="O1395"/>
  <c r="O1394"/>
  <c r="O1393"/>
  <c r="G1399"/>
  <c r="G1398"/>
  <c r="G1396"/>
  <c r="G1395"/>
  <c r="G1394"/>
  <c r="G1393"/>
  <c r="O4"/>
  <c r="M4"/>
  <c r="G5"/>
  <c r="G6"/>
  <c r="G7"/>
  <c r="G8"/>
  <c r="G9"/>
  <c r="G10"/>
  <c r="G11"/>
  <c r="G13"/>
  <c r="G14"/>
  <c r="G15"/>
  <c r="G17"/>
  <c r="G18"/>
  <c r="G19"/>
  <c r="G21"/>
  <c r="G22"/>
  <c r="E6"/>
  <c r="E7"/>
  <c r="E8"/>
  <c r="E10"/>
  <c r="E11"/>
  <c r="E13"/>
  <c r="E14"/>
  <c r="E15"/>
  <c r="E17"/>
  <c r="E18"/>
  <c r="E19"/>
  <c r="E22"/>
  <c r="E5"/>
  <c r="E44" i="2"/>
  <c r="E22"/>
  <c r="E15"/>
  <c r="E25"/>
  <c r="E24"/>
  <c r="E23"/>
  <c r="E26"/>
  <c r="E27"/>
  <c r="E38"/>
  <c r="E37"/>
  <c r="E34"/>
  <c r="E39"/>
  <c r="E16" i="1"/>
  <c r="E10" i="2"/>
  <c r="G15"/>
  <c r="E4" i="1"/>
  <c r="M1390"/>
  <c r="N41" i="4" l="1"/>
  <c r="O41" s="1"/>
  <c r="N47"/>
  <c r="N45"/>
  <c r="L1405" i="1"/>
  <c r="L1408"/>
  <c r="O1392"/>
  <c r="N1407"/>
  <c r="G16"/>
  <c r="F1408"/>
  <c r="F41" i="4"/>
  <c r="F48"/>
  <c r="D41"/>
  <c r="D48"/>
  <c r="D18" i="69"/>
  <c r="C18" s="1"/>
  <c r="B18" s="1"/>
  <c r="J16"/>
  <c r="C15"/>
  <c r="B15" s="1"/>
  <c r="N17" i="2"/>
  <c r="F74"/>
  <c r="M74"/>
  <c r="N1403" i="1"/>
  <c r="F1390"/>
  <c r="G4"/>
  <c r="E31" i="4"/>
  <c r="E1392" i="1"/>
  <c r="G31" i="4"/>
  <c r="E17" i="2"/>
  <c r="O1390" i="1"/>
  <c r="E1395"/>
  <c r="G34" i="4"/>
  <c r="F44" l="1"/>
  <c r="N48"/>
  <c r="E41"/>
  <c r="L48"/>
  <c r="D44"/>
  <c r="F81" i="2"/>
  <c r="F84" s="1"/>
  <c r="F85"/>
  <c r="G74"/>
  <c r="O1403" i="1"/>
  <c r="N1405"/>
  <c r="F1403"/>
  <c r="F1405" s="1"/>
  <c r="F1406"/>
  <c r="G41" i="4"/>
  <c r="J17" i="69"/>
  <c r="I16"/>
  <c r="H16" s="1"/>
  <c r="N74" i="2"/>
  <c r="M81"/>
  <c r="G1390" i="1"/>
  <c r="E1403"/>
  <c r="M1403"/>
  <c r="G1403" l="1"/>
  <c r="G81" i="2"/>
  <c r="N81"/>
  <c r="M87"/>
  <c r="M84"/>
  <c r="I17" i="69"/>
  <c r="H17" s="1"/>
  <c r="I16" i="65" s="1"/>
  <c r="C16" s="1"/>
  <c r="J18" i="69"/>
  <c r="I18" s="1"/>
  <c r="H18" s="1"/>
  <c r="E74" i="2"/>
  <c r="L81" l="1"/>
  <c r="L74"/>
  <c r="E81"/>
  <c r="I81" l="1"/>
  <c r="I87" l="1"/>
  <c r="I84"/>
</calcChain>
</file>

<file path=xl/comments1.xml><?xml version="1.0" encoding="utf-8"?>
<comments xmlns="http://schemas.openxmlformats.org/spreadsheetml/2006/main">
  <authors>
    <author>刘宝平</author>
  </authors>
  <commentList>
    <comment ref="B29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国库处决算表</t>
        </r>
      </text>
    </comment>
    <comment ref="C29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国库处决算表</t>
        </r>
      </text>
    </comment>
    <comment ref="D29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取自国库处决算表</t>
        </r>
      </text>
    </comment>
    <comment ref="J29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决算表
</t>
        </r>
      </text>
    </comment>
    <comment ref="K29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取自国库处的</t>
        </r>
        <r>
          <rPr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宋体"/>
            <family val="3"/>
            <charset val="134"/>
          </rPr>
          <t>年决算表</t>
        </r>
      </text>
    </comment>
    <comment ref="L29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取自国库处决算表</t>
        </r>
      </text>
    </comment>
    <comment ref="N29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取自国库处决算表</t>
        </r>
      </text>
    </comment>
    <comment ref="D41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取自国库处</t>
        </r>
        <r>
          <rPr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宋体"/>
            <family val="3"/>
            <charset val="134"/>
          </rPr>
          <t>年决算表</t>
        </r>
      </text>
    </comment>
    <comment ref="L41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宋体"/>
            <family val="3"/>
            <charset val="134"/>
          </rPr>
          <t>年决算表</t>
        </r>
      </text>
    </comment>
  </commentList>
</comments>
</file>

<file path=xl/comments10.xml><?xml version="1.0" encoding="utf-8"?>
<comments xmlns="http://schemas.openxmlformats.org/spreadsheetml/2006/main">
  <authors>
    <author>康跃飞</author>
  </authors>
  <commentList>
    <comment ref="D6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企业一二档+机关</t>
        </r>
      </text>
    </commen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企业一二档+机关</t>
        </r>
      </text>
    </comment>
    <comment ref="F6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企业三档</t>
        </r>
      </text>
    </comment>
    <comment ref="B8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=社决附01表本年预算支出</t>
        </r>
      </text>
    </comment>
    <comment ref="D17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企业一二档+机关</t>
        </r>
      </text>
    </comment>
    <comment ref="E17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企业一二档+机关</t>
        </r>
      </text>
    </comment>
  </commentList>
</comments>
</file>

<file path=xl/comments11.xml><?xml version="1.0" encoding="utf-8"?>
<comments xmlns="http://schemas.openxmlformats.org/spreadsheetml/2006/main">
  <authors>
    <author>康跃飞</author>
  </authors>
  <commentList>
    <comment ref="B6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会审后增加</t>
        </r>
      </text>
    </comment>
    <comment ref="B8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=社决附01表本年预算支出
加上</t>
        </r>
        <r>
          <rPr>
            <sz val="9"/>
            <color indexed="81"/>
            <rFont val="宋体"/>
            <family val="3"/>
            <charset val="134"/>
          </rPr>
          <t>13,027,726.99</t>
        </r>
      </text>
    </comment>
  </commentList>
</comments>
</file>

<file path=xl/comments12.xml><?xml version="1.0" encoding="utf-8"?>
<comments xmlns="http://schemas.openxmlformats.org/spreadsheetml/2006/main">
  <authors>
    <author>康跃飞</author>
  </authors>
  <commentList>
    <comment ref="B8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=社决附01表本年预算支出</t>
        </r>
      </text>
    </comment>
  </commentList>
</comments>
</file>

<file path=xl/comments13.xml><?xml version="1.0" encoding="utf-8"?>
<comments xmlns="http://schemas.openxmlformats.org/spreadsheetml/2006/main">
  <authors>
    <author>康跃飞</author>
  </authors>
  <commentList>
    <comment ref="B7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=社决附01表本年预算支出</t>
        </r>
      </text>
    </comment>
  </commentList>
</comments>
</file>

<file path=xl/comments14.xml><?xml version="1.0" encoding="utf-8"?>
<comments xmlns="http://schemas.openxmlformats.org/spreadsheetml/2006/main">
  <authors>
    <author>康跃飞</author>
  </authors>
  <commentList>
    <comment ref="B7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=社决附01表本年预算支出</t>
        </r>
      </text>
    </comment>
  </commentList>
</comments>
</file>

<file path=xl/comments15.xml><?xml version="1.0" encoding="utf-8"?>
<comments xmlns="http://schemas.openxmlformats.org/spreadsheetml/2006/main">
  <authors>
    <author>康跃飞</author>
  </authors>
  <commentList>
    <comment ref="B5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企业+机关</t>
        </r>
      </text>
    </comment>
    <comment ref="B7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=社决附01表本年预算支出</t>
        </r>
      </text>
    </comment>
    <comment ref="B15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企业+机关</t>
        </r>
      </text>
    </comment>
  </commentList>
</comments>
</file>

<file path=xl/comments16.xml><?xml version="1.0" encoding="utf-8"?>
<comments xmlns="http://schemas.openxmlformats.org/spreadsheetml/2006/main">
  <authors>
    <author>康跃飞</author>
  </authors>
  <commentList>
    <comment ref="F7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企业一、二、三档+机关</t>
        </r>
      </text>
    </comment>
    <comment ref="L7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企业+机关</t>
        </r>
      </text>
    </comment>
    <comment ref="F19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企业一、二、三档+机关</t>
        </r>
      </text>
    </comment>
    <comment ref="L19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企业+机关</t>
        </r>
      </text>
    </comment>
  </commentList>
</comments>
</file>

<file path=xl/comments17.xml><?xml version="1.0" encoding="utf-8"?>
<comments xmlns="http://schemas.openxmlformats.org/spreadsheetml/2006/main">
  <authors>
    <author>康跃飞</author>
  </authors>
  <commentList>
    <comment ref="C6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=社会医疗保险参保人数-居民医疗保险参保人数-离退休人数
其中：失业人员视同在职职工；参加居民医疗人员退休后视同职工医疗人员</t>
        </r>
      </text>
    </comment>
    <comment ref="C19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=企业一二三档+机关</t>
        </r>
      </text>
    </comment>
    <comment ref="F25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企业+机关</t>
        </r>
      </text>
    </comment>
  </commentList>
</comments>
</file>

<file path=xl/comments18.xml><?xml version="1.0" encoding="utf-8"?>
<comments xmlns="http://schemas.openxmlformats.org/spreadsheetml/2006/main">
  <authors>
    <author>康跃飞</author>
  </authors>
  <commentList>
    <comment ref="C5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=比较表居民基本医疗人数1581185-少儿大学生中的家属统筹医疗人数41591</t>
        </r>
      </text>
    </comment>
  </commentList>
</comments>
</file>

<file path=xl/comments19.xml><?xml version="1.0" encoding="utf-8"?>
<comments xmlns="http://schemas.openxmlformats.org/spreadsheetml/2006/main">
  <authors>
    <author>康跃飞</author>
  </authors>
  <commentList>
    <comment ref="C15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该指标为期间数，而比较表中的失业人数为时点数，二者可能不完全一致</t>
        </r>
      </text>
    </comment>
  </commentList>
</comments>
</file>

<file path=xl/comments2.xml><?xml version="1.0" encoding="utf-8"?>
<comments xmlns="http://schemas.openxmlformats.org/spreadsheetml/2006/main">
  <authors>
    <author>Elvin</author>
  </authors>
  <commentList>
    <comment ref="B1390" authorId="0">
      <text>
        <r>
          <rPr>
            <b/>
            <sz val="9"/>
            <color indexed="81"/>
            <rFont val="宋体"/>
            <family val="3"/>
            <charset val="134"/>
          </rPr>
          <t>Elvin:</t>
        </r>
        <r>
          <rPr>
            <sz val="9"/>
            <color indexed="81"/>
            <rFont val="宋体"/>
            <family val="3"/>
            <charset val="134"/>
          </rPr>
          <t xml:space="preserve">
取自2014年决算报表的年初预算数</t>
        </r>
      </text>
    </comment>
  </commentList>
</comments>
</file>

<file path=xl/comments20.xml><?xml version="1.0" encoding="utf-8"?>
<comments xmlns="http://schemas.openxmlformats.org/spreadsheetml/2006/main">
  <authors>
    <author>康跃飞</author>
  </authors>
  <commentList>
    <comment ref="F20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=比较表地方补充医疗人数7229950-少儿大学生中的家属统筹人数41591</t>
        </r>
      </text>
    </comment>
  </commentList>
</comments>
</file>

<file path=xl/comments21.xml><?xml version="1.0" encoding="utf-8"?>
<comments xmlns="http://schemas.openxmlformats.org/spreadsheetml/2006/main">
  <authors>
    <author>康跃飞</author>
  </authors>
  <commentList>
    <comment ref="D9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另加收入户存款</t>
        </r>
      </text>
    </comment>
    <comment ref="E9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另加收入户存款</t>
        </r>
      </text>
    </comment>
    <comment ref="F9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另加收入户存款</t>
        </r>
      </text>
    </comment>
    <comment ref="G9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另加收入户存款</t>
        </r>
      </text>
    </comment>
    <comment ref="H9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另加收入户存款</t>
        </r>
      </text>
    </comment>
    <comment ref="I9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企业+机关</t>
        </r>
      </text>
    </comment>
  </commentList>
</comments>
</file>

<file path=xl/comments22.xml><?xml version="1.0" encoding="utf-8"?>
<comments xmlns="http://schemas.openxmlformats.org/spreadsheetml/2006/main">
  <authors>
    <author>康跃飞</author>
  </authors>
  <commentList>
    <comment ref="D5" authorId="0">
      <text>
        <r>
          <rPr>
            <b/>
            <sz val="9"/>
            <color indexed="81"/>
            <rFont val="宋体"/>
            <family val="3"/>
            <charset val="134"/>
          </rPr>
          <t>康跃飞:基本养老金支出+医疗补助金支出+丧葬抚恤补助支出</t>
        </r>
      </text>
    </comment>
  </commentList>
</comments>
</file>

<file path=xl/comments23.xml><?xml version="1.0" encoding="utf-8"?>
<comments xmlns="http://schemas.openxmlformats.org/spreadsheetml/2006/main">
  <authors>
    <author>康跃飞</author>
  </authors>
  <commentList>
    <comment ref="B7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=社决附01表本年预算支出</t>
        </r>
      </text>
    </comment>
  </commentList>
</comments>
</file>

<file path=xl/comments24.xml><?xml version="1.0" encoding="utf-8"?>
<comments xmlns="http://schemas.openxmlformats.org/spreadsheetml/2006/main">
  <authors>
    <author>康跃飞</author>
  </authors>
  <commentList>
    <comment ref="B15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企业+机关</t>
        </r>
      </text>
    </comment>
  </commentList>
</comments>
</file>

<file path=xl/comments3.xml><?xml version="1.0" encoding="utf-8"?>
<comments xmlns="http://schemas.openxmlformats.org/spreadsheetml/2006/main">
  <authors>
    <author>刘宝平</author>
  </authors>
  <commentList>
    <comment ref="C74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国库处决算表</t>
        </r>
      </text>
    </comment>
    <comment ref="D74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国库处决算表</t>
        </r>
      </text>
    </comment>
    <comment ref="J74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国库处决算表</t>
        </r>
      </text>
    </comment>
    <comment ref="D75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取自春平的体制结算表</t>
        </r>
      </text>
    </comment>
  </commentList>
</comments>
</file>

<file path=xl/comments4.xml><?xml version="1.0" encoding="utf-8"?>
<comments xmlns="http://schemas.openxmlformats.org/spreadsheetml/2006/main">
  <authors>
    <author>刘宝平</author>
  </authors>
  <commentList>
    <comment ref="C15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国土收支计划的资金</t>
        </r>
      </text>
    </comment>
  </commentList>
</comments>
</file>

<file path=xl/comments5.xml><?xml version="1.0" encoding="utf-8"?>
<comments xmlns="http://schemas.openxmlformats.org/spreadsheetml/2006/main">
  <authors>
    <author>刘宝平</author>
  </authors>
  <commentList>
    <comment ref="C4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宋体"/>
            <family val="3"/>
            <charset val="134"/>
          </rPr>
          <t>年国土收支计划</t>
        </r>
      </text>
    </comment>
    <comment ref="D4" authorId="0">
      <text>
        <r>
          <rPr>
            <b/>
            <sz val="9"/>
            <color indexed="81"/>
            <rFont val="宋体"/>
            <family val="3"/>
            <charset val="134"/>
          </rPr>
          <t>刘宝平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取自宋春平的</t>
        </r>
        <r>
          <rPr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宋体"/>
            <family val="3"/>
            <charset val="134"/>
          </rPr>
          <t>年体制决算表</t>
        </r>
      </text>
    </comment>
  </commentList>
</comments>
</file>

<file path=xl/comments6.xml><?xml version="1.0" encoding="utf-8"?>
<comments xmlns="http://schemas.openxmlformats.org/spreadsheetml/2006/main">
  <authors>
    <author>康跃飞</author>
  </authors>
  <commentList>
    <comment ref="H4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企业一二三档+机关</t>
        </r>
      </text>
    </comment>
    <comment ref="P4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企业+机关</t>
        </r>
      </text>
    </comment>
    <comment ref="I8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企业一二三档+机关（下同）</t>
        </r>
      </text>
    </comment>
    <comment ref="Q8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企业+机关（下同）</t>
        </r>
      </text>
    </comment>
    <comment ref="D9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=上年度年末数（下同）</t>
        </r>
      </text>
    </comment>
    <comment ref="G9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另加收入户存款</t>
        </r>
      </text>
    </comment>
    <comment ref="K9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另加收入户存款</t>
        </r>
      </text>
    </comment>
  </commentList>
</comments>
</file>

<file path=xl/comments7.xml><?xml version="1.0" encoding="utf-8"?>
<comments xmlns="http://schemas.openxmlformats.org/spreadsheetml/2006/main">
  <authors>
    <author>康跃飞</author>
  </authors>
  <commentList>
    <comment ref="B7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=社决附01表本年预算支出</t>
        </r>
      </text>
    </comment>
  </commentList>
</comments>
</file>

<file path=xl/comments8.xml><?xml version="1.0" encoding="utf-8"?>
<comments xmlns="http://schemas.openxmlformats.org/spreadsheetml/2006/main">
  <authors>
    <author>康跃飞</author>
  </authors>
  <commentList>
    <comment ref="D5" authorId="0">
      <text>
        <r>
          <rPr>
            <b/>
            <sz val="9"/>
            <color indexed="81"/>
            <rFont val="宋体"/>
            <family val="3"/>
            <charset val="134"/>
          </rPr>
          <t>康跃飞:基本养老金支出+医疗补助金支出+丧葬抚恤补助支出</t>
        </r>
      </text>
    </comment>
    <comment ref="B7" authorId="0">
      <text>
        <r>
          <rPr>
            <b/>
            <sz val="9"/>
            <color indexed="81"/>
            <rFont val="宋体"/>
            <family val="3"/>
            <charset val="134"/>
          </rPr>
          <t>康跃飞:</t>
        </r>
        <r>
          <rPr>
            <sz val="9"/>
            <color indexed="81"/>
            <rFont val="宋体"/>
            <family val="3"/>
            <charset val="134"/>
          </rPr>
          <t xml:space="preserve">
=社决附01表本年预算支出</t>
        </r>
      </text>
    </comment>
  </commentList>
</comments>
</file>

<file path=xl/comments9.xml><?xml version="1.0" encoding="utf-8"?>
<comments xmlns="http://schemas.openxmlformats.org/spreadsheetml/2006/main">
  <authors>
    <author>康跃飞</author>
  </authors>
  <commentList>
    <comment ref="B8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康跃飞:
</t>
        </r>
        <r>
          <rPr>
            <sz val="9"/>
            <color indexed="81"/>
            <rFont val="宋体"/>
            <family val="3"/>
            <charset val="134"/>
          </rPr>
          <t>=社决13表
财政补贴收入</t>
        </r>
        <r>
          <rPr>
            <sz val="9"/>
            <color indexed="81"/>
            <rFont val="宋体"/>
            <family val="3"/>
            <charset val="134"/>
          </rPr>
          <t xml:space="preserve">
=社决附01表本年预算支出</t>
        </r>
      </text>
    </comment>
  </commentList>
</comments>
</file>

<file path=xl/sharedStrings.xml><?xml version="1.0" encoding="utf-8"?>
<sst xmlns="http://schemas.openxmlformats.org/spreadsheetml/2006/main" count="4006" uniqueCount="2209">
  <si>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</si>
  <si>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</si>
  <si>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</si>
  <si>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</si>
  <si>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</si>
  <si>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</si>
  <si>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</si>
  <si>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</si>
  <si>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</si>
  <si>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</si>
  <si>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</si>
  <si>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</si>
  <si>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</si>
  <si>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</si>
  <si>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</si>
  <si>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</si>
  <si>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</si>
  <si>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</si>
  <si>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</si>
  <si>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</si>
  <si>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</si>
  <si>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</si>
  <si>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</si>
  <si>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</si>
  <si>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</si>
  <si>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</si>
  <si>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</si>
  <si>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</si>
  <si>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</si>
  <si>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</si>
  <si>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</si>
  <si>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</si>
  <si>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</si>
  <si>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</si>
  <si>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</si>
  <si>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</si>
  <si>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</si>
  <si>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</si>
  <si>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</si>
  <si>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</si>
  <si>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</si>
  <si>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</si>
  <si>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</si>
  <si>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</si>
  <si>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</si>
  <si>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</si>
  <si>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</si>
  <si>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</si>
  <si>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</si>
  <si>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</si>
  <si>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</si>
  <si>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</si>
  <si>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</si>
  <si>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</si>
  <si>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</si>
  <si>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</si>
  <si>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</si>
  <si>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</si>
  <si>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</si>
  <si>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</si>
  <si>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</si>
  <si>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</si>
  <si>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</si>
  <si>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</si>
  <si>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</si>
  <si>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</si>
  <si>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</si>
  <si>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</si>
  <si>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</si>
  <si>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</si>
  <si>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</si>
  <si>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</si>
  <si>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</si>
  <si>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</si>
  <si>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</si>
  <si>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</si>
  <si>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</si>
  <si>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</si>
  <si>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</si>
  <si>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</si>
  <si>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</si>
  <si>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</si>
  <si>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</si>
  <si>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</si>
  <si>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</si>
  <si>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</si>
  <si>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</si>
  <si>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</si>
  <si>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</si>
  <si>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</si>
  <si>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</si>
  <si>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</si>
  <si>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</si>
  <si>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</si>
  <si>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</si>
  <si>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</si>
  <si>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</si>
  <si>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</si>
  <si>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</si>
  <si>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</si>
  <si>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</si>
  <si>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</si>
  <si>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</si>
  <si>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</si>
  <si>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</si>
  <si>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</si>
  <si>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</si>
  <si>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</si>
  <si>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</si>
  <si>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</si>
  <si>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</si>
  <si>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</si>
  <si>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</si>
  <si>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</si>
  <si>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</si>
  <si>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</si>
  <si>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</si>
  <si>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</si>
  <si>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</si>
  <si>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</si>
  <si>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</si>
  <si>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</si>
  <si>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</si>
  <si>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</si>
  <si>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</si>
  <si>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</si>
  <si>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</si>
  <si>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</si>
  <si>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</si>
  <si>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</si>
  <si>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</si>
  <si>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</si>
  <si>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</si>
  <si>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</si>
  <si>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</si>
  <si>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</si>
  <si>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</si>
  <si>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</si>
  <si>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</si>
  <si>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</si>
  <si>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</si>
  <si>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</si>
  <si>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</si>
  <si>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</si>
  <si>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</si>
  <si>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</si>
  <si>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</si>
  <si>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</si>
  <si>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</si>
  <si>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</si>
  <si>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</si>
  <si>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</si>
  <si>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</si>
  <si>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</si>
  <si>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</si>
  <si>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</si>
  <si>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</si>
  <si>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</si>
  <si>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</si>
  <si>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</si>
  <si>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</si>
  <si>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</si>
  <si>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</si>
  <si>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</si>
  <si>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</si>
  <si>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</si>
  <si>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</si>
  <si>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</si>
  <si>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</si>
  <si>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</si>
  <si>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</si>
  <si>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</si>
  <si>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</si>
  <si>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</si>
  <si>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</si>
  <si>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</si>
  <si>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</si>
  <si>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</si>
  <si>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</si>
  <si>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</si>
  <si>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</si>
  <si>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</si>
  <si>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</si>
  <si>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</si>
  <si>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</si>
  <si>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</si>
  <si>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</si>
  <si>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</si>
  <si>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</si>
  <si>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</si>
  <si>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</si>
  <si>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</si>
  <si>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</si>
  <si>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</si>
  <si>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</si>
  <si>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</si>
  <si>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</si>
  <si>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</si>
  <si>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</si>
  <si>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</si>
  <si>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</si>
  <si>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</si>
  <si>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</si>
  <si>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</si>
  <si>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</si>
  <si>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</si>
  <si>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</si>
  <si>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</si>
  <si>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</si>
  <si>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</si>
  <si>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</si>
  <si>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</si>
  <si>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</si>
  <si>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</si>
  <si>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</si>
  <si>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</si>
  <si>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</si>
  <si>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</si>
  <si>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</si>
  <si>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</si>
  <si>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</si>
  <si>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</si>
  <si>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</si>
  <si>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</si>
  <si>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</si>
  <si>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</si>
  <si>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</si>
  <si>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</si>
  <si>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</si>
  <si>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</si>
  <si>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</si>
  <si>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</si>
  <si>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</si>
  <si>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</si>
  <si>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</si>
  <si>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</si>
  <si>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</si>
  <si>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</si>
  <si>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</si>
  <si>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</si>
  <si>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</si>
  <si>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</si>
  <si>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</si>
  <si>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</si>
  <si>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</si>
  <si>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</si>
  <si>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</si>
  <si>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</si>
  <si>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</si>
  <si>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</si>
  <si>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</si>
  <si>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</si>
  <si>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</si>
  <si>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</si>
  <si>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</si>
  <si>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</si>
  <si>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</si>
  <si>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</si>
  <si>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</si>
  <si>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</si>
  <si>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</si>
  <si>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</si>
  <si>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</si>
  <si>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</si>
  <si>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</si>
  <si>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</si>
  <si>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</si>
  <si>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</si>
  <si>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</si>
  <si>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</si>
  <si>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</si>
  <si>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</si>
  <si>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</si>
  <si>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</si>
  <si>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</si>
  <si>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</si>
  <si>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</si>
  <si>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</si>
  <si>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</si>
  <si>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</si>
  <si>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财政对城乡居民社会养老保险基金的补助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</si>
  <si>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</si>
  <si>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</si>
  <si>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</si>
  <si>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</si>
  <si>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</si>
  <si>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</si>
  <si>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</si>
  <si>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</si>
  <si>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</si>
  <si>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</si>
  <si>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</si>
  <si>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</si>
  <si>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</si>
  <si>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</si>
  <si>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</si>
  <si>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</si>
  <si>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</si>
  <si>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</si>
  <si>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</si>
  <si>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</si>
  <si>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</si>
  <si>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</si>
  <si>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</si>
  <si>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</si>
  <si>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</si>
  <si>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</si>
  <si>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</si>
  <si>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</si>
  <si>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</si>
  <si>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</si>
  <si>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</si>
  <si>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</si>
  <si>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</si>
  <si>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</si>
  <si>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</si>
  <si>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</si>
  <si>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</si>
  <si>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</si>
  <si>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</si>
  <si>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</si>
  <si>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</si>
  <si>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</si>
  <si>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</si>
  <si>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</si>
  <si>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</si>
  <si>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</si>
  <si>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</si>
  <si>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</si>
  <si>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</si>
  <si>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</si>
  <si>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</si>
  <si>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</si>
  <si>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</si>
  <si>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</si>
  <si>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</si>
  <si>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</si>
  <si>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</si>
  <si>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</si>
  <si>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</si>
  <si>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</si>
  <si>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</si>
  <si>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</si>
  <si>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</si>
  <si>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</si>
  <si>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</si>
  <si>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</si>
  <si>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</si>
  <si>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</si>
  <si>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</si>
  <si>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</si>
  <si>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</si>
  <si>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</si>
  <si>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</si>
  <si>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</si>
  <si>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</si>
  <si>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</si>
  <si>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</si>
  <si>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</si>
  <si>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</si>
  <si>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</si>
  <si>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</si>
  <si>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</si>
  <si>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</si>
  <si>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</si>
  <si>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</si>
  <si>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</si>
  <si>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</si>
  <si>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</si>
  <si>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</si>
  <si>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</si>
  <si>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</si>
  <si>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</si>
  <si>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</si>
  <si>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</si>
  <si>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</si>
  <si>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</si>
  <si>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</si>
  <si>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</si>
  <si>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</si>
  <si>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</si>
  <si>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</si>
  <si>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</si>
  <si>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</si>
  <si>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</si>
  <si>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</si>
  <si>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</si>
  <si>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</si>
  <si>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</si>
  <si>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</si>
  <si>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</si>
  <si>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</si>
  <si>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</si>
  <si>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</si>
  <si>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</si>
  <si>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</si>
  <si>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</si>
  <si>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</si>
  <si>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</si>
  <si>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</si>
  <si>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</si>
  <si>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</si>
  <si>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人口与计划生育事务</t>
  </si>
  <si>
    <t xml:space="preserve">    计划生育、生殖健康促进工程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</si>
  <si>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</si>
  <si>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</si>
  <si>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</si>
  <si>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</si>
  <si>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</si>
  <si>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</si>
  <si>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</si>
  <si>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</si>
  <si>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</si>
  <si>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</si>
  <si>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</si>
  <si>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</si>
  <si>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</si>
  <si>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</si>
  <si>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</si>
  <si>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</si>
  <si>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</si>
  <si>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</si>
  <si>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</si>
  <si>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</si>
  <si>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</si>
  <si>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</si>
  <si>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</si>
  <si>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</si>
  <si>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</si>
  <si>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</si>
  <si>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</si>
  <si>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</si>
  <si>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</si>
  <si>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</si>
  <si>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</si>
  <si>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</si>
  <si>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</si>
  <si>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</si>
  <si>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</si>
  <si>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</si>
  <si>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</si>
  <si>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</si>
  <si>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</si>
  <si>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</si>
  <si>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湖泊生态环境保护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</si>
  <si>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</si>
  <si>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</si>
  <si>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</si>
  <si>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</si>
  <si>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</si>
  <si>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</si>
  <si>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</si>
  <si>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</si>
  <si>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</si>
  <si>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</si>
  <si>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</si>
  <si>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</si>
  <si>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</si>
  <si>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</si>
  <si>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</si>
  <si>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</si>
  <si>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</si>
  <si>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</si>
  <si>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</si>
  <si>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</si>
  <si>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</si>
  <si>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</si>
  <si>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</si>
  <si>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</si>
  <si>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</si>
  <si>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</si>
  <si>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</si>
  <si>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</si>
  <si>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</si>
  <si>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</si>
  <si>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</si>
  <si>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</si>
  <si>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</si>
  <si>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</si>
  <si>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</si>
  <si>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</si>
  <si>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</si>
  <si>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</si>
  <si>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</si>
  <si>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</si>
  <si>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</si>
  <si>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</si>
  <si>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</si>
  <si>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</si>
  <si>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</si>
  <si>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</si>
  <si>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</si>
  <si>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</si>
  <si>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</si>
  <si>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</si>
  <si>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</si>
  <si>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</si>
  <si>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</si>
  <si>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</si>
  <si>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</si>
  <si>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</si>
  <si>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</si>
  <si>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</si>
  <si>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</si>
  <si>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</si>
  <si>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</si>
  <si>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</si>
  <si>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</si>
  <si>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</si>
  <si>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</si>
  <si>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</si>
  <si>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</si>
  <si>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</si>
  <si>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</si>
  <si>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</si>
  <si>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技术推广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</si>
  <si>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</si>
  <si>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</si>
  <si>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</si>
  <si>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</si>
  <si>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</si>
  <si>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</si>
  <si>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</si>
  <si>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</si>
  <si>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</si>
  <si>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</si>
  <si>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</si>
  <si>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</si>
  <si>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</si>
  <si>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</si>
  <si>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</si>
  <si>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</si>
  <si>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</si>
  <si>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</si>
  <si>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</si>
  <si>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</si>
  <si>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</si>
  <si>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</si>
  <si>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</si>
  <si>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</si>
  <si>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</si>
  <si>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</si>
  <si>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</si>
  <si>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</si>
  <si>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</si>
  <si>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</si>
  <si>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</si>
  <si>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</si>
  <si>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</si>
  <si>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</si>
  <si>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</si>
  <si>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</si>
  <si>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</si>
  <si>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</si>
  <si>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</si>
  <si>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</si>
  <si>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</si>
  <si>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</si>
  <si>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</si>
  <si>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</si>
  <si>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</si>
  <si>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</si>
  <si>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</si>
  <si>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</si>
  <si>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</si>
  <si>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</si>
  <si>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</si>
  <si>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</si>
  <si>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</si>
  <si>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</si>
  <si>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</si>
  <si>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</si>
  <si>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</si>
  <si>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</si>
  <si>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</si>
  <si>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</si>
  <si>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</si>
  <si>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</si>
  <si>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</si>
  <si>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</si>
  <si>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</si>
  <si>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</si>
  <si>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</si>
  <si>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</si>
  <si>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</si>
  <si>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</si>
  <si>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</si>
  <si>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</si>
  <si>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</si>
  <si>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</si>
  <si>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</si>
  <si>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</si>
  <si>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</si>
  <si>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</si>
  <si>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</si>
  <si>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</si>
  <si>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</si>
  <si>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</si>
  <si>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</si>
  <si>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</si>
  <si>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</si>
  <si>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</si>
  <si>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</si>
  <si>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</si>
  <si>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</si>
  <si>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</si>
  <si>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</si>
  <si>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</si>
  <si>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</si>
  <si>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</si>
  <si>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</si>
  <si>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</si>
  <si>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</si>
  <si>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</si>
  <si>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</si>
  <si>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</si>
  <si>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</si>
  <si>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</si>
  <si>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</si>
  <si>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</si>
  <si>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</si>
  <si>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</si>
  <si>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</si>
  <si>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</si>
  <si>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</si>
  <si>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</si>
  <si>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</si>
  <si>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</si>
  <si>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</si>
  <si>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</si>
  <si>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</si>
  <si>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</si>
  <si>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</si>
  <si>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</si>
  <si>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</si>
  <si>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</si>
  <si>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</si>
  <si>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</si>
  <si>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</si>
  <si>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</si>
  <si>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</si>
  <si>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</si>
  <si>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</si>
  <si>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</si>
  <si>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</si>
  <si>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</si>
  <si>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</si>
  <si>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</si>
  <si>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</si>
  <si>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</si>
  <si>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</si>
  <si>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</si>
  <si>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</si>
  <si>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</si>
  <si>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</si>
  <si>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</si>
  <si>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</si>
  <si>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</si>
  <si>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</si>
  <si>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</si>
  <si>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</si>
  <si>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</si>
  <si>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</si>
  <si>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</si>
  <si>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</si>
  <si>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</si>
  <si>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</si>
  <si>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</si>
  <si>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</si>
  <si>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</si>
  <si>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</si>
  <si>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</si>
  <si>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</si>
  <si>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</si>
  <si>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</si>
  <si>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</si>
  <si>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</si>
  <si>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</si>
  <si>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</si>
  <si>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</si>
  <si>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</si>
  <si>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</si>
  <si>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</si>
  <si>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</si>
  <si>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</si>
  <si>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</si>
  <si>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</si>
  <si>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</si>
  <si>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</si>
  <si>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</si>
  <si>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</si>
  <si>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</si>
  <si>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</si>
  <si>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</si>
  <si>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</si>
  <si>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</si>
  <si>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</si>
  <si>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</si>
  <si>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</si>
  <si>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</si>
  <si>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</si>
  <si>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</si>
  <si>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</si>
  <si>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</si>
  <si>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</si>
  <si>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</si>
  <si>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</si>
  <si>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</si>
  <si>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</si>
  <si>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</si>
  <si>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</si>
  <si>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</si>
  <si>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</si>
  <si>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</si>
  <si>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</si>
  <si>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</si>
  <si>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</si>
  <si>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</si>
  <si>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</si>
  <si>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</si>
  <si>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</si>
  <si>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</si>
  <si>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</si>
  <si>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</si>
  <si>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</si>
  <si>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</si>
  <si>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</si>
  <si>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</si>
  <si>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</si>
  <si>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</si>
  <si>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</si>
  <si>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</si>
  <si>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</si>
  <si>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</si>
  <si>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</si>
  <si>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</si>
  <si>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</si>
  <si>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</si>
  <si>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</si>
  <si>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</si>
  <si>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</si>
  <si>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</si>
  <si>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</si>
  <si>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</si>
  <si>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</si>
  <si>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</si>
  <si>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</si>
  <si>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</si>
  <si>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</si>
  <si>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</si>
  <si>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</si>
  <si>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</si>
  <si>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</si>
  <si>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</si>
  <si>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</si>
  <si>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</si>
  <si>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</si>
  <si>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</si>
  <si>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</si>
  <si>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</si>
  <si>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</si>
  <si>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</si>
  <si>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</si>
  <si>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</si>
  <si>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</si>
  <si>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</si>
  <si>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</si>
  <si>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</si>
  <si>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</si>
  <si>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</si>
  <si>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</si>
  <si>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</si>
  <si>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</si>
  <si>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</si>
  <si>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</si>
  <si>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</si>
  <si>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</si>
  <si>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</si>
  <si>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</si>
  <si>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</si>
  <si>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</si>
  <si>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</si>
  <si>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</si>
  <si>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</si>
  <si>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</si>
  <si>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</si>
  <si>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</si>
  <si>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</si>
  <si>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</si>
  <si>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</si>
  <si>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</si>
  <si>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</si>
  <si>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</si>
  <si>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</si>
  <si>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</si>
  <si>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</si>
  <si>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</si>
  <si>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</si>
  <si>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</si>
  <si>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</si>
  <si>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</si>
  <si>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</si>
  <si>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</si>
  <si>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</si>
  <si>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</si>
  <si>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</si>
  <si>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</si>
  <si>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</si>
  <si>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</si>
  <si>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</si>
  <si>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</si>
  <si>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</si>
  <si>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</si>
  <si>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</si>
  <si>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</si>
  <si>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</si>
  <si>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</si>
  <si>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</si>
  <si>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</si>
  <si>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</si>
  <si>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</si>
  <si>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</si>
  <si>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</si>
  <si>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</si>
  <si>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</si>
  <si>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</si>
  <si>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</si>
  <si>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</si>
  <si>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</si>
  <si>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</si>
  <si>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</si>
  <si>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</si>
  <si>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</si>
  <si>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</si>
  <si>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</si>
  <si>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</si>
  <si>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</si>
  <si>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</si>
  <si>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</si>
  <si>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</si>
  <si>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</si>
  <si>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</si>
  <si>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</si>
  <si>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</si>
  <si>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</si>
  <si>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</si>
  <si>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</si>
  <si>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</si>
  <si>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</si>
  <si>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</si>
  <si>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</si>
  <si>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</si>
  <si>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</si>
  <si>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</si>
  <si>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</si>
  <si>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</si>
  <si>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</si>
  <si>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</si>
  <si>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</si>
  <si>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</si>
  <si>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</si>
  <si>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</si>
  <si>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</si>
  <si>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</si>
  <si>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</si>
  <si>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</si>
  <si>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</si>
  <si>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</si>
  <si>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</si>
  <si>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</si>
  <si>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</si>
  <si>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</si>
  <si>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</si>
  <si>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</si>
  <si>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</si>
  <si>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</si>
  <si>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</si>
  <si>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</si>
  <si>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</si>
  <si>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</si>
  <si>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</si>
  <si>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</si>
  <si>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</si>
  <si>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</si>
  <si>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</si>
  <si>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</si>
  <si>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</si>
  <si>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</si>
  <si>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</si>
  <si>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</si>
  <si>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</si>
  <si>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</si>
  <si>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</si>
  <si>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</si>
  <si>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</si>
  <si>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</si>
  <si>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储备粮油补贴支出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</si>
  <si>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</si>
  <si>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</si>
  <si>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</si>
  <si>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</si>
  <si>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</si>
  <si>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</si>
  <si>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</si>
  <si>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</si>
  <si>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</si>
  <si>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</si>
  <si>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</si>
  <si>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</si>
  <si>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</si>
  <si>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</si>
  <si>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</si>
  <si>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</si>
  <si>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国债还本付息支出</t>
  </si>
  <si>
    <t xml:space="preserve">  国内债务付息</t>
  </si>
  <si>
    <t xml:space="preserve">  国外债务付息</t>
  </si>
  <si>
    <t xml:space="preserve">  国内外债务发行</t>
  </si>
  <si>
    <t xml:space="preserve">  补充还贷准备金</t>
  </si>
  <si>
    <t xml:space="preserve">  地方政府债券付息</t>
  </si>
  <si>
    <t>其他支出(类)</t>
  </si>
  <si>
    <t xml:space="preserve">  其他支出(款)</t>
  </si>
  <si>
    <t xml:space="preserve">    其他支出(项)</t>
  </si>
  <si>
    <t>2014年
决算数</t>
    <phoneticPr fontId="23" type="noConversion"/>
  </si>
  <si>
    <t>收入科目</t>
    <phoneticPr fontId="23" type="noConversion"/>
  </si>
  <si>
    <t>支出科目</t>
    <phoneticPr fontId="23" type="noConversion"/>
  </si>
  <si>
    <t>单位：万元</t>
    <phoneticPr fontId="23" type="noConversion"/>
  </si>
  <si>
    <t>一、贸促会收费</t>
    <phoneticPr fontId="23" type="noConversion"/>
  </si>
  <si>
    <t>一、一般公共服务</t>
    <phoneticPr fontId="23" type="noConversion"/>
  </si>
  <si>
    <t xml:space="preserve">       证书工本费</t>
    <phoneticPr fontId="23" type="noConversion"/>
  </si>
  <si>
    <t xml:space="preserve">      商贸事务</t>
    <phoneticPr fontId="23" type="noConversion"/>
  </si>
  <si>
    <t>二、地方教育附加收入</t>
    <phoneticPr fontId="23" type="noConversion"/>
  </si>
  <si>
    <t xml:space="preserve">        贸促会收费安排的支出</t>
    <phoneticPr fontId="23" type="noConversion"/>
  </si>
  <si>
    <t>三、文化事业建设费收入</t>
    <phoneticPr fontId="23" type="noConversion"/>
  </si>
  <si>
    <t xml:space="preserve">       地方文化事业建设费收入</t>
    <phoneticPr fontId="23" type="noConversion"/>
  </si>
  <si>
    <t xml:space="preserve">       地方教育附加安排的支出</t>
    <phoneticPr fontId="23" type="noConversion"/>
  </si>
  <si>
    <t>四、残疾人就业保障金收入</t>
    <phoneticPr fontId="23" type="noConversion"/>
  </si>
  <si>
    <t xml:space="preserve">         其他地方教育附加安排的支出</t>
    <phoneticPr fontId="23" type="noConversion"/>
  </si>
  <si>
    <t>五、政府住房基金收入</t>
    <phoneticPr fontId="23" type="noConversion"/>
  </si>
  <si>
    <t>三、文化体育与传媒</t>
    <phoneticPr fontId="23" type="noConversion"/>
  </si>
  <si>
    <t xml:space="preserve">      公共租赁住房租金收入</t>
    <phoneticPr fontId="23" type="noConversion"/>
  </si>
  <si>
    <t xml:space="preserve">       文化事业建设费安排的支出</t>
    <phoneticPr fontId="23" type="noConversion"/>
  </si>
  <si>
    <t xml:space="preserve">      配建商业设施租售收入</t>
    <phoneticPr fontId="23" type="noConversion"/>
  </si>
  <si>
    <t xml:space="preserve">      其他政府住房基金收入</t>
    <phoneticPr fontId="23" type="noConversion"/>
  </si>
  <si>
    <t>四、社会保障和就业</t>
    <phoneticPr fontId="23" type="noConversion"/>
  </si>
  <si>
    <t>六、国有土地使用权出让收入</t>
    <phoneticPr fontId="23" type="noConversion"/>
  </si>
  <si>
    <t xml:space="preserve">       残疾人就业保障金支出</t>
    <phoneticPr fontId="23" type="noConversion"/>
  </si>
  <si>
    <t xml:space="preserve">      土地出让价款收入</t>
    <phoneticPr fontId="23" type="noConversion"/>
  </si>
  <si>
    <t xml:space="preserve">         就业和培训</t>
    <phoneticPr fontId="23" type="noConversion"/>
  </si>
  <si>
    <t xml:space="preserve">      补缴的土地价款</t>
    <phoneticPr fontId="23" type="noConversion"/>
  </si>
  <si>
    <t xml:space="preserve">         职业康复</t>
    <phoneticPr fontId="23" type="noConversion"/>
  </si>
  <si>
    <t xml:space="preserve">      教育资金收入</t>
    <phoneticPr fontId="23" type="noConversion"/>
  </si>
  <si>
    <t xml:space="preserve">         其他残疾人就业保障金支出</t>
    <phoneticPr fontId="23" type="noConversion"/>
  </si>
  <si>
    <t xml:space="preserve">      农田水利建设资金收入</t>
    <phoneticPr fontId="23" type="noConversion"/>
  </si>
  <si>
    <t xml:space="preserve">      缴纳新增建设用地土地有偿使用费</t>
    <phoneticPr fontId="23" type="noConversion"/>
  </si>
  <si>
    <t xml:space="preserve">      政府住房基金支出</t>
    <phoneticPr fontId="23" type="noConversion"/>
  </si>
  <si>
    <t xml:space="preserve">      其他土地出让收入</t>
    <phoneticPr fontId="23" type="noConversion"/>
  </si>
  <si>
    <t xml:space="preserve">        其他政府住房基金支出</t>
    <phoneticPr fontId="23" type="noConversion"/>
  </si>
  <si>
    <t>七、城市公用事业附加收入</t>
    <phoneticPr fontId="23" type="noConversion"/>
  </si>
  <si>
    <t>八、国有土地收益基金收入</t>
    <phoneticPr fontId="23" type="noConversion"/>
  </si>
  <si>
    <t xml:space="preserve">        征地和拆迁补偿支出</t>
    <phoneticPr fontId="23" type="noConversion"/>
  </si>
  <si>
    <t>九、农业土地开发资金收入</t>
    <phoneticPr fontId="23" type="noConversion"/>
  </si>
  <si>
    <t xml:space="preserve">        城市建设支出</t>
    <phoneticPr fontId="23" type="noConversion"/>
  </si>
  <si>
    <t>十、新增建设用地土地有偿使用费收入</t>
    <phoneticPr fontId="23" type="noConversion"/>
  </si>
  <si>
    <t xml:space="preserve">        补助被征地农民支出</t>
    <phoneticPr fontId="23" type="noConversion"/>
  </si>
  <si>
    <t xml:space="preserve">        土地出让业务支出</t>
    <phoneticPr fontId="23" type="noConversion"/>
  </si>
  <si>
    <t>十一、森林植被恢复费</t>
    <phoneticPr fontId="23" type="noConversion"/>
  </si>
  <si>
    <t xml:space="preserve">        公共租赁住房支出</t>
    <phoneticPr fontId="23" type="noConversion"/>
  </si>
  <si>
    <t xml:space="preserve">         地方森林植被恢复费</t>
    <phoneticPr fontId="23" type="noConversion"/>
  </si>
  <si>
    <t xml:space="preserve">        农田水利建设资金安排的支出</t>
    <phoneticPr fontId="23" type="noConversion"/>
  </si>
  <si>
    <t>十二、地方水利建设基金收入</t>
    <phoneticPr fontId="23" type="noConversion"/>
  </si>
  <si>
    <t xml:space="preserve">         地方水利建设基金划转收入</t>
    <phoneticPr fontId="23" type="noConversion"/>
  </si>
  <si>
    <t xml:space="preserve">      城市公用事业附加安排的支出</t>
    <phoneticPr fontId="23" type="noConversion"/>
  </si>
  <si>
    <t xml:space="preserve">         地方其他水利建设基金收入</t>
    <phoneticPr fontId="23" type="noConversion"/>
  </si>
  <si>
    <t>十三、车辆通行费</t>
    <phoneticPr fontId="23" type="noConversion"/>
  </si>
  <si>
    <t xml:space="preserve">      国有土地收益基金支出</t>
    <phoneticPr fontId="23" type="noConversion"/>
  </si>
  <si>
    <t>十四、港口建设费收入</t>
    <phoneticPr fontId="23" type="noConversion"/>
  </si>
  <si>
    <t>十五、民航发展基金收入</t>
    <phoneticPr fontId="23" type="noConversion"/>
  </si>
  <si>
    <t xml:space="preserve">        土地开发支出</t>
    <phoneticPr fontId="23" type="noConversion"/>
  </si>
  <si>
    <t>十六、无线电频率占用费</t>
    <phoneticPr fontId="23" type="noConversion"/>
  </si>
  <si>
    <t xml:space="preserve">        其他国有土地收益基金支出</t>
    <phoneticPr fontId="23" type="noConversion"/>
  </si>
  <si>
    <t>十七、散装水泥专项资金收入</t>
    <phoneticPr fontId="23" type="noConversion"/>
  </si>
  <si>
    <t xml:space="preserve">      农业土地开发资金支出</t>
    <phoneticPr fontId="23" type="noConversion"/>
  </si>
  <si>
    <t>十八、新型墙体材料专项基金收入</t>
    <phoneticPr fontId="23" type="noConversion"/>
  </si>
  <si>
    <t>十九、彩票公益金收入</t>
    <phoneticPr fontId="23" type="noConversion"/>
  </si>
  <si>
    <t xml:space="preserve">         福利彩票公益金收入</t>
    <phoneticPr fontId="23" type="noConversion"/>
  </si>
  <si>
    <t>六、农林水事务</t>
    <phoneticPr fontId="23" type="noConversion"/>
  </si>
  <si>
    <t xml:space="preserve">         体育彩票公益金收入</t>
    <phoneticPr fontId="23" type="noConversion"/>
  </si>
  <si>
    <t xml:space="preserve">      森林植被恢复费安排的支出</t>
    <phoneticPr fontId="23" type="noConversion"/>
  </si>
  <si>
    <t xml:space="preserve">        森林培育    </t>
    <phoneticPr fontId="23" type="noConversion"/>
  </si>
  <si>
    <t xml:space="preserve">        其他森林植被恢复费安排的支出</t>
    <phoneticPr fontId="23" type="noConversion"/>
  </si>
  <si>
    <t xml:space="preserve">      地方水利建设基金支出</t>
    <phoneticPr fontId="23" type="noConversion"/>
  </si>
  <si>
    <t xml:space="preserve">        其他地方水利建设基金支出</t>
    <phoneticPr fontId="23" type="noConversion"/>
  </si>
  <si>
    <t>七、交通运输</t>
    <phoneticPr fontId="23" type="noConversion"/>
  </si>
  <si>
    <t xml:space="preserve">      港口建设费安排的支出</t>
    <phoneticPr fontId="23" type="noConversion"/>
  </si>
  <si>
    <t xml:space="preserve">        其他港口建设费安排的支出</t>
    <phoneticPr fontId="23" type="noConversion"/>
  </si>
  <si>
    <t xml:space="preserve">      民航发展基金支出</t>
    <phoneticPr fontId="23" type="noConversion"/>
  </si>
  <si>
    <t xml:space="preserve">        民航机场建设</t>
    <phoneticPr fontId="23" type="noConversion"/>
  </si>
  <si>
    <t>八、资源勘探电力信息等事务</t>
    <phoneticPr fontId="23" type="noConversion"/>
  </si>
  <si>
    <t xml:space="preserve">      工业和信息产业监管支出</t>
    <phoneticPr fontId="23" type="noConversion"/>
  </si>
  <si>
    <t xml:space="preserve">        无线电频率占用费安排的支出</t>
    <phoneticPr fontId="23" type="noConversion"/>
  </si>
  <si>
    <t xml:space="preserve">      散装水泥专项资金支出</t>
    <phoneticPr fontId="23" type="noConversion"/>
  </si>
  <si>
    <t xml:space="preserve">        其他散装水泥专项资金支出</t>
    <phoneticPr fontId="23" type="noConversion"/>
  </si>
  <si>
    <t xml:space="preserve">      新型墙体材料专项基金支出</t>
    <phoneticPr fontId="23" type="noConversion"/>
  </si>
  <si>
    <t xml:space="preserve">      彩票公益金安排的支出</t>
    <phoneticPr fontId="23" type="noConversion"/>
  </si>
  <si>
    <t xml:space="preserve">     其他政府性基金支出</t>
    <phoneticPr fontId="23" type="noConversion"/>
  </si>
  <si>
    <t>本年基金收入小计</t>
    <phoneticPr fontId="23" type="noConversion"/>
  </si>
  <si>
    <t>本年基金支出小计</t>
    <phoneticPr fontId="23" type="noConversion"/>
  </si>
  <si>
    <t>基金收入总计</t>
    <phoneticPr fontId="23" type="noConversion"/>
  </si>
  <si>
    <t>基金支出总计</t>
    <phoneticPr fontId="23" type="noConversion"/>
  </si>
  <si>
    <t>一般公共预算收入</t>
    <phoneticPr fontId="23" type="noConversion"/>
  </si>
  <si>
    <t>科目名称</t>
  </si>
  <si>
    <t>年初预算数</t>
  </si>
  <si>
    <t>公共财政支出</t>
  </si>
  <si>
    <t xml:space="preserve">  其他共产党事务支出</t>
  </si>
  <si>
    <t xml:space="preserve">  其他一般公共服务支出</t>
  </si>
  <si>
    <t xml:space="preserve">  对外宣传</t>
  </si>
  <si>
    <t xml:space="preserve">  其他外交支出</t>
  </si>
  <si>
    <t xml:space="preserve">  现役部队</t>
  </si>
  <si>
    <t xml:space="preserve">  国防科研事业</t>
  </si>
  <si>
    <t xml:space="preserve">  专项工程</t>
  </si>
  <si>
    <t xml:space="preserve">  其他国防支出</t>
  </si>
  <si>
    <t xml:space="preserve">  其他公共安全支出</t>
  </si>
  <si>
    <t xml:space="preserve">  其他教育支出</t>
  </si>
  <si>
    <t xml:space="preserve">  科技重大专项</t>
  </si>
  <si>
    <t xml:space="preserve">  其他科学技术支出</t>
  </si>
  <si>
    <t xml:space="preserve">  其他文化体育与传媒支出</t>
  </si>
  <si>
    <t xml:space="preserve">  其他社会保障和就业支出</t>
  </si>
  <si>
    <t>医疗卫生与计划生育支出</t>
  </si>
  <si>
    <t xml:space="preserve">  其他医疗卫生与计划生育支出</t>
  </si>
  <si>
    <t xml:space="preserve">    其中:排污费安排的支出</t>
  </si>
  <si>
    <t xml:space="preserve">  已垦草原退耕还草</t>
  </si>
  <si>
    <t xml:space="preserve">  能源节约利用</t>
  </si>
  <si>
    <t xml:space="preserve">  可再生能源</t>
  </si>
  <si>
    <t xml:space="preserve">  资源综合利用</t>
  </si>
  <si>
    <t xml:space="preserve">  其他节能环保支出</t>
  </si>
  <si>
    <t xml:space="preserve">  城乡社区规划与管理</t>
  </si>
  <si>
    <t xml:space="preserve">  城乡社区环境卫生</t>
  </si>
  <si>
    <t xml:space="preserve">  建设市场管理与监督</t>
  </si>
  <si>
    <t xml:space="preserve">  其他城乡社区支出</t>
  </si>
  <si>
    <t xml:space="preserve">    其中:水资源费安排的支出</t>
  </si>
  <si>
    <t xml:space="preserve">  其他农林水支出</t>
  </si>
  <si>
    <t xml:space="preserve">  其他交通运输支出</t>
  </si>
  <si>
    <t xml:space="preserve">  其他资源勘探信息等支出</t>
  </si>
  <si>
    <t xml:space="preserve">  其他商业服务业等支出</t>
  </si>
  <si>
    <t xml:space="preserve">  其他金融支出</t>
  </si>
  <si>
    <t xml:space="preserve">    其中:矿产资源专项收入安排的支出</t>
  </si>
  <si>
    <t xml:space="preserve">    其中:海域使用金支出</t>
  </si>
  <si>
    <t>预备费</t>
  </si>
  <si>
    <t xml:space="preserve">  年初预留</t>
  </si>
  <si>
    <t>调整预算数</t>
  </si>
  <si>
    <t>决算数</t>
  </si>
  <si>
    <t>一般公共服务</t>
  </si>
  <si>
    <t>外交</t>
  </si>
  <si>
    <t>国防</t>
  </si>
  <si>
    <t xml:space="preserve">  预备役部队</t>
  </si>
  <si>
    <t xml:space="preserve">  民兵</t>
  </si>
  <si>
    <t>公共安全</t>
  </si>
  <si>
    <t xml:space="preserve">  劳教</t>
  </si>
  <si>
    <t>教育</t>
  </si>
  <si>
    <t xml:space="preserve">  教师进修及干部继续教育</t>
  </si>
  <si>
    <t>科学技术</t>
  </si>
  <si>
    <t>文化体育与传媒</t>
  </si>
  <si>
    <t>社会保障和就业</t>
  </si>
  <si>
    <t>医疗卫生</t>
  </si>
  <si>
    <t xml:space="preserve">  其他医疗卫生支出</t>
  </si>
  <si>
    <t>节能环保</t>
  </si>
  <si>
    <t>城乡社区事务</t>
  </si>
  <si>
    <t xml:space="preserve">  其他城乡社区事务支出</t>
  </si>
  <si>
    <t>农林水事务</t>
  </si>
  <si>
    <t xml:space="preserve">  引导金融机构支农补助</t>
  </si>
  <si>
    <t xml:space="preserve">  其他农林水事务支出</t>
  </si>
  <si>
    <t>交通运输</t>
  </si>
  <si>
    <t>资源勘探电力信息等事务</t>
  </si>
  <si>
    <t xml:space="preserve">  资源勘探开发和服务支出</t>
  </si>
  <si>
    <t xml:space="preserve">  电力监管支出</t>
  </si>
  <si>
    <t xml:space="preserve">    其中:三峡库区移民专项支出</t>
  </si>
  <si>
    <t xml:space="preserve">  工业和信息产业监管支出</t>
  </si>
  <si>
    <t xml:space="preserve">  其他资源勘探电力信息等事务支出</t>
  </si>
  <si>
    <t>商业服务业等事务</t>
  </si>
  <si>
    <t xml:space="preserve">  其他商业服务业等事务支出</t>
  </si>
  <si>
    <t>金融监管等事务支出</t>
  </si>
  <si>
    <t xml:space="preserve">  其他金融监管等事务支出</t>
  </si>
  <si>
    <t>地震灾后恢复重建支出</t>
  </si>
  <si>
    <t xml:space="preserve">  倒塌毁损民房恢复重建</t>
  </si>
  <si>
    <t xml:space="preserve">  基础设施恢复重建</t>
  </si>
  <si>
    <t xml:space="preserve">  公益服务设施恢复重建</t>
  </si>
  <si>
    <t xml:space="preserve">  农业林业恢复生产和重建</t>
  </si>
  <si>
    <t xml:space="preserve">  工商企业恢复生产和重建</t>
  </si>
  <si>
    <t xml:space="preserve">  党政机关恢复重建</t>
  </si>
  <si>
    <t xml:space="preserve">  军队武警恢复重建支出</t>
  </si>
  <si>
    <t xml:space="preserve">  其他恢复重建支出</t>
  </si>
  <si>
    <t>国土资源气象等事务</t>
  </si>
  <si>
    <t xml:space="preserve">  其他国土资源气象等事务支出</t>
  </si>
  <si>
    <t>粮油物资储备事务</t>
  </si>
  <si>
    <t xml:space="preserve">  汶川地震捐赠支出</t>
  </si>
  <si>
    <t xml:space="preserve">      划拨土地收入</t>
    <phoneticPr fontId="23" type="noConversion"/>
  </si>
  <si>
    <t>完成调整
预算数
%</t>
    <phoneticPr fontId="23" type="noConversion"/>
  </si>
  <si>
    <t xml:space="preserve">        管理费用支出</t>
    <phoneticPr fontId="23" type="noConversion"/>
  </si>
  <si>
    <t>一般公共预算支出</t>
  </si>
  <si>
    <t>科目编码</t>
    <phoneticPr fontId="23" type="noConversion"/>
  </si>
  <si>
    <t>一、税收收入</t>
    <phoneticPr fontId="23" type="noConversion"/>
  </si>
  <si>
    <t>二、非税收入</t>
    <phoneticPr fontId="23" type="noConversion"/>
  </si>
  <si>
    <t>合计</t>
    <phoneticPr fontId="23" type="noConversion"/>
  </si>
  <si>
    <t>单位：万元</t>
  </si>
  <si>
    <t>转移性收入</t>
  </si>
  <si>
    <t>转移性支出</t>
  </si>
  <si>
    <t>收入总计</t>
  </si>
  <si>
    <t>支出总计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</si>
  <si>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</si>
  <si>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</si>
  <si>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</si>
  <si>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</si>
  <si>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</si>
  <si>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</si>
  <si>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</si>
  <si>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</si>
  <si>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</si>
  <si>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</si>
  <si>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</si>
  <si>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</si>
  <si>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</si>
  <si>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</si>
  <si>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</si>
  <si>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</si>
  <si>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</si>
  <si>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</si>
  <si>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</si>
  <si>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</si>
  <si>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</si>
  <si>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</si>
  <si>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</si>
  <si>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</si>
  <si>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</si>
  <si>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</si>
  <si>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</si>
  <si>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</si>
  <si>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</si>
  <si>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</si>
  <si>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</si>
  <si>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</si>
  <si>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</si>
  <si>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</si>
  <si>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</si>
  <si>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</si>
  <si>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</si>
  <si>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</si>
  <si>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</si>
  <si>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</si>
  <si>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</si>
  <si>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</si>
  <si>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</si>
  <si>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</si>
  <si>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</si>
  <si>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</si>
  <si>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</si>
  <si>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</si>
  <si>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</si>
  <si>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</si>
  <si>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</si>
  <si>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</si>
  <si>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</si>
  <si>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</si>
  <si>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</si>
  <si>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</si>
  <si>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</si>
  <si>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</si>
  <si>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</si>
  <si>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</si>
  <si>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</si>
  <si>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</si>
  <si>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</si>
  <si>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</si>
  <si>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</si>
  <si>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</si>
  <si>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</si>
  <si>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</si>
  <si>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</si>
  <si>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</si>
  <si>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</si>
  <si>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</si>
  <si>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</si>
  <si>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</si>
  <si>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</si>
  <si>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</si>
  <si>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</si>
  <si>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</si>
  <si>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</si>
  <si>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</si>
  <si>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</si>
  <si>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</si>
  <si>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</si>
  <si>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</si>
  <si>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</si>
  <si>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</si>
  <si>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</si>
  <si>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</si>
  <si>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</si>
  <si>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</si>
  <si>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</si>
  <si>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</si>
  <si>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</si>
  <si>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</si>
  <si>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</si>
  <si>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</si>
  <si>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</si>
  <si>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</si>
  <si>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</si>
  <si>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</si>
  <si>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</si>
  <si>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</si>
  <si>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</si>
  <si>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</si>
  <si>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</si>
  <si>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</si>
  <si>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</si>
  <si>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</si>
  <si>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</si>
  <si>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</si>
  <si>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</si>
  <si>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</si>
  <si>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</si>
  <si>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</si>
  <si>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</si>
  <si>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</si>
  <si>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</si>
  <si>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</si>
  <si>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</si>
  <si>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</si>
  <si>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</si>
  <si>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</si>
  <si>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</si>
  <si>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</si>
  <si>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</si>
  <si>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</si>
  <si>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</si>
  <si>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</si>
  <si>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</si>
  <si>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</si>
  <si>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</si>
  <si>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</si>
  <si>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</si>
  <si>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</si>
  <si>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</si>
  <si>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</si>
  <si>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</si>
  <si>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</si>
  <si>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</si>
  <si>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</si>
  <si>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</si>
  <si>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</si>
  <si>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</si>
  <si>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</si>
  <si>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</si>
  <si>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</si>
  <si>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</si>
  <si>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</si>
  <si>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</si>
  <si>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</si>
  <si>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</si>
  <si>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</si>
  <si>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</si>
  <si>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</si>
  <si>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</si>
  <si>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>2015年深圳市一般公共预算收支决算（草案）</t>
    <phoneticPr fontId="23" type="noConversion"/>
  </si>
  <si>
    <t>2015年
预算数</t>
    <phoneticPr fontId="23" type="noConversion"/>
  </si>
  <si>
    <t>2015年
调整预算数</t>
    <phoneticPr fontId="23" type="noConversion"/>
  </si>
  <si>
    <t>2015年
决算数</t>
    <phoneticPr fontId="23" type="noConversion"/>
  </si>
  <si>
    <t>比2014年
决算数增长%</t>
    <phoneticPr fontId="23" type="noConversion"/>
  </si>
  <si>
    <t xml:space="preserve">  临时救助</t>
  </si>
  <si>
    <t>2015年深圳市本级一般公共预算收支决算（草案）</t>
    <phoneticPr fontId="23" type="noConversion"/>
  </si>
  <si>
    <t xml:space="preserve">    临时救助支出</t>
  </si>
  <si>
    <t xml:space="preserve">    流浪乞讨人员救助支出</t>
  </si>
  <si>
    <t xml:space="preserve">  计划生育事务</t>
  </si>
  <si>
    <t xml:space="preserve">    计划生育机构</t>
  </si>
  <si>
    <t xml:space="preserve">    计划生育服务</t>
  </si>
  <si>
    <t xml:space="preserve">    一般债务付息支出</t>
  </si>
  <si>
    <t xml:space="preserve">         污水处理费收入</t>
    <phoneticPr fontId="23" type="noConversion"/>
  </si>
  <si>
    <t>五、城乡社区支出</t>
    <phoneticPr fontId="23" type="noConversion"/>
  </si>
  <si>
    <t xml:space="preserve">      计提公共租赁住房资金</t>
    <phoneticPr fontId="37" type="noConversion"/>
  </si>
  <si>
    <t>2015年深圳市本级政府性基金收支决算(草案)</t>
    <phoneticPr fontId="23" type="noConversion"/>
  </si>
  <si>
    <t>转移性收入</t>
    <phoneticPr fontId="23" type="noConversion"/>
  </si>
  <si>
    <t xml:space="preserve">        航道建设和维护</t>
    <phoneticPr fontId="23" type="noConversion"/>
  </si>
  <si>
    <t>一、税收返还</t>
    <phoneticPr fontId="23" type="noConversion"/>
  </si>
  <si>
    <t>其中：消费税和增值税税收返还收入</t>
    <phoneticPr fontId="23" type="noConversion"/>
  </si>
  <si>
    <t xml:space="preserve">      所得税基数返还收入</t>
    <phoneticPr fontId="23" type="noConversion"/>
  </si>
  <si>
    <t>二、一般转移支付</t>
    <phoneticPr fontId="23" type="noConversion"/>
  </si>
  <si>
    <t>其中：体制定额结算补助</t>
    <phoneticPr fontId="23" type="noConversion"/>
  </si>
  <si>
    <t xml:space="preserve">      大企业跨区迁移补助</t>
    <phoneticPr fontId="23" type="noConversion"/>
  </si>
  <si>
    <t xml:space="preserve">      体制中期评估划转经费</t>
    <phoneticPr fontId="23" type="noConversion"/>
  </si>
  <si>
    <t xml:space="preserve">      体制中期评估补助经费</t>
    <phoneticPr fontId="23" type="noConversion"/>
  </si>
  <si>
    <t xml:space="preserve">      消防体制改革划转经费</t>
    <phoneticPr fontId="23" type="noConversion"/>
  </si>
  <si>
    <t>三、专项转移支付</t>
    <phoneticPr fontId="23" type="noConversion"/>
  </si>
  <si>
    <t>其中：基层政法经费转移支付</t>
    <phoneticPr fontId="23" type="noConversion"/>
  </si>
  <si>
    <t xml:space="preserve">      教育费附加转移支付</t>
    <phoneticPr fontId="23" type="noConversion"/>
  </si>
  <si>
    <t xml:space="preserve">      地方教育附加</t>
    <phoneticPr fontId="23" type="noConversion"/>
  </si>
  <si>
    <t xml:space="preserve">      土地收益计提的教育资金</t>
    <phoneticPr fontId="23" type="noConversion"/>
  </si>
  <si>
    <t>2015年预算</t>
    <phoneticPr fontId="23" type="noConversion"/>
  </si>
  <si>
    <t>2015年决算</t>
    <phoneticPr fontId="23" type="noConversion"/>
  </si>
  <si>
    <t>决算数为预算数的%</t>
    <phoneticPr fontId="23" type="noConversion"/>
  </si>
  <si>
    <t>2015年预算</t>
    <phoneticPr fontId="23" type="noConversion"/>
  </si>
  <si>
    <t>2015年决算</t>
    <phoneticPr fontId="23" type="noConversion"/>
  </si>
  <si>
    <t>决算数为预算数的%</t>
    <phoneticPr fontId="23" type="noConversion"/>
  </si>
  <si>
    <t>项目</t>
    <phoneticPr fontId="23" type="noConversion"/>
  </si>
  <si>
    <t>分区</t>
    <phoneticPr fontId="59" type="noConversion"/>
  </si>
  <si>
    <t>罗湖区</t>
    <phoneticPr fontId="59" type="noConversion"/>
  </si>
  <si>
    <t>福田区</t>
    <phoneticPr fontId="59" type="noConversion"/>
  </si>
  <si>
    <t>南山区</t>
    <phoneticPr fontId="59" type="noConversion"/>
  </si>
  <si>
    <t>盐田区</t>
    <phoneticPr fontId="59" type="noConversion"/>
  </si>
  <si>
    <t>宝安区</t>
    <phoneticPr fontId="59" type="noConversion"/>
  </si>
  <si>
    <t>龙岗区</t>
    <phoneticPr fontId="59" type="noConversion"/>
  </si>
  <si>
    <t>光明新区</t>
    <phoneticPr fontId="59" type="noConversion"/>
  </si>
  <si>
    <t>坪山新区</t>
    <phoneticPr fontId="59" type="noConversion"/>
  </si>
  <si>
    <t>龙华新区</t>
    <phoneticPr fontId="59" type="noConversion"/>
  </si>
  <si>
    <t>大鹏新区</t>
    <phoneticPr fontId="59" type="noConversion"/>
  </si>
  <si>
    <t>待分配资金</t>
    <phoneticPr fontId="59" type="noConversion"/>
  </si>
  <si>
    <t>序号</t>
    <phoneticPr fontId="59" type="noConversion"/>
  </si>
  <si>
    <t>合计</t>
    <phoneticPr fontId="59" type="noConversion"/>
  </si>
  <si>
    <t>单位：万元</t>
    <phoneticPr fontId="59" type="noConversion"/>
  </si>
  <si>
    <t>上年结转结余收入</t>
    <phoneticPr fontId="23" type="noConversion"/>
  </si>
  <si>
    <t>补助下级支出</t>
    <phoneticPr fontId="23" type="noConversion"/>
  </si>
  <si>
    <t>上级补助收入</t>
    <phoneticPr fontId="23" type="noConversion"/>
  </si>
  <si>
    <t>上解上级支出</t>
    <phoneticPr fontId="23" type="noConversion"/>
  </si>
  <si>
    <t>省补助计划单列市收入</t>
    <phoneticPr fontId="23" type="noConversion"/>
  </si>
  <si>
    <t>调出资金</t>
    <phoneticPr fontId="23" type="noConversion"/>
  </si>
  <si>
    <t>调入资金</t>
    <phoneticPr fontId="23" type="noConversion"/>
  </si>
  <si>
    <t>基金滚存结余</t>
    <phoneticPr fontId="23" type="noConversion"/>
  </si>
  <si>
    <t>科目编码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</si>
  <si>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</si>
  <si>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</si>
  <si>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</si>
  <si>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</si>
  <si>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</si>
  <si>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</si>
  <si>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</si>
  <si>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</si>
  <si>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</si>
  <si>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</si>
  <si>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</si>
  <si>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</si>
  <si>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</si>
  <si>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</si>
  <si>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</si>
  <si>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</si>
  <si>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</si>
  <si>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</si>
  <si>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</si>
  <si>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</si>
  <si>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</si>
  <si>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</si>
  <si>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</si>
  <si>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</si>
  <si>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</si>
  <si>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</si>
  <si>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装备购置费</t>
  </si>
  <si>
    <t xml:space="preserve">  工程建设费</t>
  </si>
  <si>
    <t xml:space="preserve">  作战费</t>
  </si>
  <si>
    <t xml:space="preserve">  军用油料费</t>
  </si>
  <si>
    <t xml:space="preserve">  军队其他运行维护费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</si>
  <si>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</si>
  <si>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</si>
  <si>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</si>
  <si>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</si>
  <si>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</si>
  <si>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</si>
  <si>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</si>
  <si>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</si>
  <si>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</si>
  <si>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</si>
  <si>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</si>
  <si>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</si>
  <si>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</si>
  <si>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</si>
  <si>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</si>
  <si>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</si>
  <si>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</si>
  <si>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</si>
  <si>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</si>
  <si>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</si>
  <si>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</si>
  <si>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</si>
  <si>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</si>
  <si>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</si>
  <si>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</si>
  <si>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</si>
  <si>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</si>
  <si>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</si>
  <si>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</si>
  <si>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不同级政府间转移性支出</t>
  </si>
  <si>
    <t xml:space="preserve">  同级政府间转移性支出</t>
  </si>
  <si>
    <t>债务利息支出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</si>
  <si>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</si>
  <si>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</si>
  <si>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</si>
  <si>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</si>
  <si>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</si>
  <si>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</si>
  <si>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</si>
  <si>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</si>
  <si>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</si>
  <si>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</si>
  <si>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</si>
  <si>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</si>
  <si>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</si>
  <si>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</si>
  <si>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</si>
  <si>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</si>
  <si>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</si>
  <si>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</si>
  <si>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</si>
  <si>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</si>
  <si>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</si>
  <si>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赠与</t>
  </si>
  <si>
    <t xml:space="preserve">  贷款转贷</t>
  </si>
  <si>
    <t xml:space="preserve">    国有资源(资产)有偿
    使用收入</t>
    <phoneticPr fontId="23" type="noConversion"/>
  </si>
  <si>
    <t>一、税收收入</t>
    <phoneticPr fontId="23" type="noConversion"/>
  </si>
  <si>
    <t xml:space="preserve">    增值税</t>
    <phoneticPr fontId="23" type="noConversion"/>
  </si>
  <si>
    <t xml:space="preserve">    营业税</t>
    <phoneticPr fontId="23" type="noConversion"/>
  </si>
  <si>
    <t xml:space="preserve">    企业所得税</t>
    <phoneticPr fontId="23" type="noConversion"/>
  </si>
  <si>
    <t xml:space="preserve">    个人所得税</t>
    <phoneticPr fontId="23" type="noConversion"/>
  </si>
  <si>
    <t xml:space="preserve">    城市维护建设税</t>
    <phoneticPr fontId="23" type="noConversion"/>
  </si>
  <si>
    <t xml:space="preserve">    房产税</t>
    <phoneticPr fontId="23" type="noConversion"/>
  </si>
  <si>
    <t xml:space="preserve">    印花税</t>
    <phoneticPr fontId="23" type="noConversion"/>
  </si>
  <si>
    <t xml:space="preserve">    城镇土地使用税</t>
    <phoneticPr fontId="23" type="noConversion"/>
  </si>
  <si>
    <t xml:space="preserve">    车船税</t>
    <phoneticPr fontId="23" type="noConversion"/>
  </si>
  <si>
    <t xml:space="preserve">    土地增值税</t>
    <phoneticPr fontId="23" type="noConversion"/>
  </si>
  <si>
    <t xml:space="preserve">    契税</t>
    <phoneticPr fontId="23" type="noConversion"/>
  </si>
  <si>
    <t>二、非税收入</t>
    <phoneticPr fontId="23" type="noConversion"/>
  </si>
  <si>
    <t xml:space="preserve">    专项收入</t>
    <phoneticPr fontId="23" type="noConversion"/>
  </si>
  <si>
    <t xml:space="preserve">    行政事业性收费收入</t>
    <phoneticPr fontId="23" type="noConversion"/>
  </si>
  <si>
    <t xml:space="preserve">    罚没收入</t>
    <phoneticPr fontId="23" type="noConversion"/>
  </si>
  <si>
    <t xml:space="preserve">    国有资本经营收入</t>
    <phoneticPr fontId="23" type="noConversion"/>
  </si>
  <si>
    <t xml:space="preserve">    其他收入</t>
    <phoneticPr fontId="23" type="noConversion"/>
  </si>
  <si>
    <t>医疗卫生与计划生育支出</t>
    <phoneticPr fontId="23" type="noConversion"/>
  </si>
  <si>
    <t xml:space="preserve">    地方政府一般债券付息支出</t>
    <phoneticPr fontId="23" type="noConversion"/>
  </si>
  <si>
    <t>一般公共预算收入</t>
    <phoneticPr fontId="23" type="noConversion"/>
  </si>
  <si>
    <t>一般公共预算支出</t>
    <phoneticPr fontId="23" type="noConversion"/>
  </si>
  <si>
    <t xml:space="preserve">  上级补助收入</t>
    <phoneticPr fontId="23" type="noConversion"/>
  </si>
  <si>
    <t xml:space="preserve">  补助下级支出</t>
    <phoneticPr fontId="23" type="noConversion"/>
  </si>
  <si>
    <t xml:space="preserve">  省补助计划单列市收入</t>
    <phoneticPr fontId="23" type="noConversion"/>
  </si>
  <si>
    <t xml:space="preserve">  计划单列市上解省支出</t>
    <phoneticPr fontId="23" type="noConversion"/>
  </si>
  <si>
    <t xml:space="preserve">  下级上解收入</t>
    <phoneticPr fontId="23" type="noConversion"/>
  </si>
  <si>
    <t xml:space="preserve">  上解上级支出</t>
    <phoneticPr fontId="23" type="noConversion"/>
  </si>
  <si>
    <t xml:space="preserve">  债务收入</t>
    <phoneticPr fontId="23" type="noConversion"/>
  </si>
  <si>
    <t xml:space="preserve">  债券还本支出</t>
    <phoneticPr fontId="23" type="noConversion"/>
  </si>
  <si>
    <t xml:space="preserve">  调入预算稳定调节基金</t>
    <phoneticPr fontId="23" type="noConversion"/>
  </si>
  <si>
    <t xml:space="preserve">  债券转贷支出</t>
    <phoneticPr fontId="23" type="noConversion"/>
  </si>
  <si>
    <t xml:space="preserve">  调入资金</t>
    <phoneticPr fontId="23" type="noConversion"/>
  </si>
  <si>
    <t xml:space="preserve">  安排预算稳定调节基金</t>
    <phoneticPr fontId="23" type="noConversion"/>
  </si>
  <si>
    <t xml:space="preserve">  上年结转结余收入</t>
    <phoneticPr fontId="23" type="noConversion"/>
  </si>
  <si>
    <t xml:space="preserve">  增设预算周转金</t>
    <phoneticPr fontId="23" type="noConversion"/>
  </si>
  <si>
    <t xml:space="preserve">  年终结转结余</t>
    <phoneticPr fontId="23" type="noConversion"/>
  </si>
  <si>
    <t xml:space="preserve">      其中：净结余</t>
    <phoneticPr fontId="23" type="noConversion"/>
  </si>
  <si>
    <t xml:space="preserve">    国有资源(资产)有偿使用收入</t>
    <phoneticPr fontId="23" type="noConversion"/>
  </si>
  <si>
    <t xml:space="preserve">  调出资金</t>
    <phoneticPr fontId="23" type="noConversion"/>
  </si>
  <si>
    <t xml:space="preserve">     其中：净结余</t>
    <phoneticPr fontId="23" type="noConversion"/>
  </si>
  <si>
    <t xml:space="preserve">         其他文化事业建设费安排
         的支出</t>
    <phoneticPr fontId="23" type="noConversion"/>
  </si>
  <si>
    <t xml:space="preserve">      国有土地使用权出让收入安排
      的支出</t>
    <phoneticPr fontId="23" type="noConversion"/>
  </si>
  <si>
    <t xml:space="preserve">       地方新增建设用地土地有偿
       使用费收入</t>
    <phoneticPr fontId="23" type="noConversion"/>
  </si>
  <si>
    <t xml:space="preserve">        其他国有土地使用权出让收入
        安排的支出</t>
    <phoneticPr fontId="23" type="noConversion"/>
  </si>
  <si>
    <t xml:space="preserve">        其他城市公用事业附加安排的
        支出</t>
    <phoneticPr fontId="23" type="noConversion"/>
  </si>
  <si>
    <t xml:space="preserve">       国家电影事业发展专项资金及
       对应专项债务收入安排的支出</t>
    <phoneticPr fontId="23" type="noConversion"/>
  </si>
  <si>
    <t>科目</t>
    <phoneticPr fontId="23" type="noConversion"/>
  </si>
  <si>
    <t>2015年
预算数</t>
    <phoneticPr fontId="23" type="noConversion"/>
  </si>
  <si>
    <t>2015年
调整预算数</t>
    <phoneticPr fontId="23" type="noConversion"/>
  </si>
  <si>
    <t>2015年
决算数</t>
    <phoneticPr fontId="23" type="noConversion"/>
  </si>
  <si>
    <t>完成调整
预算数
%</t>
    <phoneticPr fontId="23" type="noConversion"/>
  </si>
  <si>
    <t>2014年
决算数</t>
    <phoneticPr fontId="23" type="noConversion"/>
  </si>
  <si>
    <t>比2014年
决算数增长%</t>
    <phoneticPr fontId="23" type="noConversion"/>
  </si>
  <si>
    <t xml:space="preserve">      新增建设用地土地有偿使用费
      安排的支出</t>
    <phoneticPr fontId="23" type="noConversion"/>
  </si>
  <si>
    <t xml:space="preserve">      污水处理费及对应专项债务收入
      安排的支出</t>
    <phoneticPr fontId="23" type="noConversion"/>
  </si>
  <si>
    <t xml:space="preserve">        其他新型墙体材料专项
        基金支出</t>
    <phoneticPr fontId="23" type="noConversion"/>
  </si>
  <si>
    <t xml:space="preserve">      彩票发行销售机构业务费安排
      的支出</t>
    <phoneticPr fontId="23" type="noConversion"/>
  </si>
  <si>
    <t xml:space="preserve">        用于社会福利的彩票
        公益金支出</t>
    <phoneticPr fontId="23" type="noConversion"/>
  </si>
  <si>
    <t xml:space="preserve">        用于体育事业的彩票
        公益金支出</t>
    <phoneticPr fontId="23" type="noConversion"/>
  </si>
  <si>
    <t xml:space="preserve">        用于残疾人事业的彩票
        公益金支出</t>
    <phoneticPr fontId="23" type="noConversion"/>
  </si>
  <si>
    <t>预算数</t>
    <phoneticPr fontId="23" type="noConversion"/>
  </si>
  <si>
    <t>目        录</t>
    <phoneticPr fontId="23" type="noConversion"/>
  </si>
  <si>
    <t>一、社会保险基金资产负债表…………………………………………………………………………社决01表</t>
  </si>
  <si>
    <t>二、企业职工基本养老保险基金收支表………………………………………………………………社决02表</t>
  </si>
  <si>
    <t>三、机关事业单位基本养老保险基金收支表…………………………………………………………社决03表</t>
    <phoneticPr fontId="23" type="noConversion"/>
  </si>
  <si>
    <t>四、城乡居民基本养老保险基金收支表………………………………………………………………社决04表</t>
    <phoneticPr fontId="23" type="noConversion"/>
  </si>
  <si>
    <t>五、城镇职工基本医疗保险基金收支表………………………………………………………………社决05表</t>
    <phoneticPr fontId="23" type="noConversion"/>
  </si>
  <si>
    <t>六、城乡居民基本医疗保险基金收支表………………………………………………………………社决06表</t>
    <phoneticPr fontId="23" type="noConversion"/>
  </si>
  <si>
    <t>七、新型农村合作医疗基金收支表……………………………………………………………………社决07表</t>
    <phoneticPr fontId="23" type="noConversion"/>
  </si>
  <si>
    <t>八、城镇居民基本医疗保险基金收支表………………………………………………………………社决08表</t>
    <phoneticPr fontId="23" type="noConversion"/>
  </si>
  <si>
    <t>九、工伤保险基金收支表………………………………………………………………………………社决09表</t>
    <phoneticPr fontId="23" type="noConversion"/>
  </si>
  <si>
    <t>十、失业保险基金收支表………………………………………………………………………………社决10表</t>
    <phoneticPr fontId="23" type="noConversion"/>
  </si>
  <si>
    <t>十一、生育保险基金收支表……………………………………………………………………………社决11表</t>
    <phoneticPr fontId="23" type="noConversion"/>
  </si>
  <si>
    <t>十二、社会保障基金财政专户资产负债表……………………………………………………………社决12表</t>
    <phoneticPr fontId="23" type="noConversion"/>
  </si>
  <si>
    <t>十三、社会保障基金财政专户收支情况表……………………………………………………………社决13表</t>
    <phoneticPr fontId="23" type="noConversion"/>
  </si>
  <si>
    <t>十四、财政对社会保险基金补助资金情况表………………………………………………………社决附01表</t>
    <phoneticPr fontId="23" type="noConversion"/>
  </si>
  <si>
    <t>十五、基本养老保险补充资料表……………………………………………………………………社决附02表</t>
    <phoneticPr fontId="23" type="noConversion"/>
  </si>
  <si>
    <t>十六、城镇职工基本医疗保险、工伤保险、生育保险补充资料表………………………………社决附03表</t>
    <phoneticPr fontId="23" type="noConversion"/>
  </si>
  <si>
    <t>十七、居民基本医疗保险补充资料表………………………………………………………………社决附04表</t>
    <phoneticPr fontId="23" type="noConversion"/>
  </si>
  <si>
    <t>十八、失业保险补充资料表…………………………………………………………………………社决附05表</t>
    <phoneticPr fontId="23" type="noConversion"/>
  </si>
  <si>
    <t>十九、其他养老保险情况表…………………………………………………………………………社决附06表</t>
    <phoneticPr fontId="23" type="noConversion"/>
  </si>
  <si>
    <t>二十、其他医疗保障情况表…………………………………………………………………………社决附07表</t>
    <phoneticPr fontId="23" type="noConversion"/>
  </si>
  <si>
    <t>二○一五年社会保险基金资产负债表</t>
    <phoneticPr fontId="23" type="noConversion"/>
  </si>
  <si>
    <r>
      <t xml:space="preserve">   社决0</t>
    </r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</si>
  <si>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t>编制单位：深圳市</t>
    <phoneticPr fontId="23" type="noConversion"/>
  </si>
  <si>
    <t>单位：元</t>
    <phoneticPr fontId="23" type="noConversion"/>
  </si>
  <si>
    <r>
      <t>项</t>
    </r>
    <r>
      <rPr>
        <sz val="12"/>
        <rFont val="Arial Narrow"/>
        <family val="2"/>
      </rPr>
      <t xml:space="preserve">      </t>
    </r>
    <r>
      <rPr>
        <sz val="12"/>
        <rFont val="宋体"/>
        <family val="3"/>
        <charset val="134"/>
      </rPr>
      <t>目</t>
    </r>
  </si>
  <si>
    <r>
      <t>合</t>
    </r>
    <r>
      <rPr>
        <sz val="12"/>
        <rFont val="Arial Narrow"/>
        <family val="2"/>
      </rPr>
      <t xml:space="preserve">      </t>
    </r>
    <r>
      <rPr>
        <sz val="12"/>
        <rFont val="宋体"/>
        <family val="3"/>
        <charset val="134"/>
      </rPr>
      <t>计</t>
    </r>
  </si>
  <si>
    <t>企业职工基本
养老保险基金</t>
    <phoneticPr fontId="23" type="noConversion"/>
  </si>
  <si>
    <t>城乡居民基本
养老保险基金</t>
    <phoneticPr fontId="23" type="noConversion"/>
  </si>
  <si>
    <t>城镇职工基本
医疗保险基金</t>
    <phoneticPr fontId="23" type="noConversion"/>
  </si>
  <si>
    <t>居民基本医
疗保险基金</t>
    <phoneticPr fontId="23" type="noConversion"/>
  </si>
  <si>
    <t>工伤保险基金</t>
  </si>
  <si>
    <t>失业保险基金</t>
  </si>
  <si>
    <t>生育保险基金</t>
  </si>
  <si>
    <t>年初数</t>
  </si>
  <si>
    <t>年末数</t>
  </si>
  <si>
    <t>一、资产</t>
  </si>
  <si>
    <r>
      <t xml:space="preserve">    </t>
    </r>
    <r>
      <rPr>
        <sz val="12"/>
        <rFont val="宋体"/>
        <family val="3"/>
        <charset val="134"/>
      </rPr>
      <t>现金</t>
    </r>
  </si>
  <si>
    <r>
      <t xml:space="preserve">    </t>
    </r>
    <r>
      <rPr>
        <sz val="12"/>
        <rFont val="宋体"/>
        <family val="3"/>
        <charset val="134"/>
      </rPr>
      <t>支出户存款</t>
    </r>
  </si>
  <si>
    <r>
      <t xml:space="preserve">    </t>
    </r>
    <r>
      <rPr>
        <sz val="12"/>
        <rFont val="宋体"/>
        <family val="3"/>
        <charset val="134"/>
      </rPr>
      <t>财政专户存款</t>
    </r>
  </si>
  <si>
    <r>
      <t xml:space="preserve">    </t>
    </r>
    <r>
      <rPr>
        <sz val="12"/>
        <rFont val="宋体"/>
        <family val="3"/>
        <charset val="134"/>
      </rPr>
      <t>暂付款</t>
    </r>
  </si>
  <si>
    <r>
      <t xml:space="preserve">      </t>
    </r>
    <r>
      <rPr>
        <sz val="12"/>
        <rFont val="宋体"/>
        <family val="3"/>
        <charset val="134"/>
      </rPr>
      <t>其中</t>
    </r>
    <r>
      <rPr>
        <sz val="12"/>
        <rFont val="Arial Narrow"/>
        <family val="2"/>
      </rPr>
      <t>:</t>
    </r>
    <r>
      <rPr>
        <sz val="12"/>
        <rFont val="宋体"/>
        <family val="3"/>
        <charset val="134"/>
      </rPr>
      <t>委托运营基金</t>
    </r>
    <phoneticPr fontId="23" type="noConversion"/>
  </si>
  <si>
    <t>×</t>
    <phoneticPr fontId="23" type="noConversion"/>
  </si>
  <si>
    <r>
      <t xml:space="preserve">    </t>
    </r>
    <r>
      <rPr>
        <sz val="12"/>
        <rFont val="宋体"/>
        <family val="3"/>
        <charset val="134"/>
      </rPr>
      <t>债券投资</t>
    </r>
  </si>
  <si>
    <t>二、负债</t>
  </si>
  <si>
    <r>
      <t xml:space="preserve">    </t>
    </r>
    <r>
      <rPr>
        <sz val="12"/>
        <rFont val="宋体"/>
        <family val="3"/>
        <charset val="134"/>
      </rPr>
      <t>临时借款</t>
    </r>
  </si>
  <si>
    <r>
      <t xml:space="preserve">    </t>
    </r>
    <r>
      <rPr>
        <sz val="12"/>
        <rFont val="宋体"/>
        <family val="3"/>
        <charset val="134"/>
      </rPr>
      <t>暂收款</t>
    </r>
  </si>
  <si>
    <t>三、基金</t>
  </si>
  <si>
    <r>
      <t>二○一</t>
    </r>
    <r>
      <rPr>
        <sz val="29"/>
        <color indexed="8"/>
        <rFont val="宋体"/>
        <family val="3"/>
        <charset val="134"/>
      </rPr>
      <t>五年企业职工基本养老保险基金收支表</t>
    </r>
    <phoneticPr fontId="23" type="noConversion"/>
  </si>
  <si>
    <t xml:space="preserve">   社决02表</t>
    <phoneticPr fontId="23" type="noConversion"/>
  </si>
  <si>
    <t>编制单位：深圳市</t>
    <phoneticPr fontId="23" type="noConversion"/>
  </si>
  <si>
    <t>单位：元</t>
    <phoneticPr fontId="23" type="noConversion"/>
  </si>
  <si>
    <t>项      目</t>
    <phoneticPr fontId="23" type="noConversion"/>
  </si>
  <si>
    <t>金      额</t>
    <phoneticPr fontId="23" type="noConversion"/>
  </si>
  <si>
    <t>一、基本养老保险费收入</t>
  </si>
  <si>
    <t>一、基本养老金支出</t>
  </si>
  <si>
    <t>二、利息收入</t>
  </si>
  <si>
    <t xml:space="preserve">    其中：离休金</t>
  </si>
  <si>
    <t xml:space="preserve">三、财政补贴收入 </t>
  </si>
  <si>
    <t>二、医疗补助金支出</t>
  </si>
  <si>
    <t>四、其他收入</t>
  </si>
  <si>
    <t>三、丧葬抚恤补助支出</t>
  </si>
  <si>
    <t xml:space="preserve">    其中：做实个人账户基金投资收益</t>
  </si>
  <si>
    <t>四、其他支出</t>
  </si>
  <si>
    <t xml:space="preserve">          滞纳金</t>
  </si>
  <si>
    <t>×</t>
    <phoneticPr fontId="23" type="noConversion"/>
  </si>
  <si>
    <t>×</t>
  </si>
  <si>
    <t>五、转移收入</t>
  </si>
  <si>
    <t>五、转移支出</t>
  </si>
  <si>
    <t>六、本年收入小计</t>
  </si>
  <si>
    <t>六、本年支出小计</t>
  </si>
  <si>
    <t>七、上级补助收入</t>
    <phoneticPr fontId="23" type="noConversion"/>
  </si>
  <si>
    <t>七、补助下级支出</t>
  </si>
  <si>
    <t>八、下级上解收入</t>
  </si>
  <si>
    <t>八、上解上级支出</t>
  </si>
  <si>
    <t>九、本年收入合计</t>
  </si>
  <si>
    <t>九、本年支出合计</t>
  </si>
  <si>
    <t>十、本年收支结余</t>
  </si>
  <si>
    <t>十、上年结余</t>
  </si>
  <si>
    <t>十一、年末滚存结余</t>
  </si>
  <si>
    <t>总      计</t>
    <phoneticPr fontId="23" type="noConversion"/>
  </si>
  <si>
    <r>
      <t>二○一</t>
    </r>
    <r>
      <rPr>
        <sz val="29"/>
        <color indexed="8"/>
        <rFont val="宋体"/>
        <family val="3"/>
        <charset val="134"/>
      </rPr>
      <t>五年机关事业单位基本养老保险基金收支表</t>
    </r>
    <phoneticPr fontId="23" type="noConversion"/>
  </si>
  <si>
    <r>
      <t xml:space="preserve">   社决</t>
    </r>
    <r>
      <rPr>
        <sz val="12"/>
        <color indexed="8"/>
        <rFont val="宋体"/>
        <family val="3"/>
        <charset val="134"/>
      </rPr>
      <t>03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</si>
  <si>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t>二、其他支出</t>
    <phoneticPr fontId="23" type="noConversion"/>
  </si>
  <si>
    <t>三、转移支出</t>
    <phoneticPr fontId="23" type="noConversion"/>
  </si>
  <si>
    <t>四、本年支出小计</t>
    <phoneticPr fontId="23" type="noConversion"/>
  </si>
  <si>
    <t>五、补助下级支出</t>
    <phoneticPr fontId="23" type="noConversion"/>
  </si>
  <si>
    <t>六、上解上级支出</t>
    <phoneticPr fontId="23" type="noConversion"/>
  </si>
  <si>
    <t>七、本年支出合计</t>
    <phoneticPr fontId="23" type="noConversion"/>
  </si>
  <si>
    <t>八、本年收支结余</t>
    <phoneticPr fontId="23" type="noConversion"/>
  </si>
  <si>
    <t>九、年末滚存结余</t>
    <phoneticPr fontId="23" type="noConversion"/>
  </si>
  <si>
    <t>二○一五年城乡居民基本养老保险基金收支表</t>
    <phoneticPr fontId="23" type="noConversion"/>
  </si>
  <si>
    <r>
      <t xml:space="preserve">   社决0</t>
    </r>
    <r>
      <rPr>
        <sz val="12"/>
        <color indexed="8"/>
        <rFont val="宋体"/>
        <family val="3"/>
        <charset val="134"/>
      </rPr>
      <t>4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</si>
  <si>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t>单位：元</t>
  </si>
  <si>
    <t>合计</t>
  </si>
  <si>
    <t>一、个人缴费收入</t>
  </si>
  <si>
    <t>一、基础养老金支出</t>
  </si>
  <si>
    <t>二、集体补助收入</t>
  </si>
  <si>
    <t>二、个人账户养老金支出</t>
  </si>
  <si>
    <t>三、利息收入</t>
  </si>
  <si>
    <t>三、其他支出</t>
  </si>
  <si>
    <t>四、政府补贴收入</t>
    <phoneticPr fontId="23" type="noConversion"/>
  </si>
  <si>
    <t xml:space="preserve">    其中:政府对基础养老金的补贴</t>
    <phoneticPr fontId="23" type="noConversion"/>
  </si>
  <si>
    <t xml:space="preserve">         政府对个人缴费的补贴</t>
    <phoneticPr fontId="23" type="noConversion"/>
  </si>
  <si>
    <t>五、其他收入</t>
  </si>
  <si>
    <t>四、其他支出</t>
    <phoneticPr fontId="23" type="noConversion"/>
  </si>
  <si>
    <t>六、转移收入</t>
  </si>
  <si>
    <t>五、转移支出</t>
    <phoneticPr fontId="23" type="noConversion"/>
  </si>
  <si>
    <t>七、本年收入小计</t>
  </si>
  <si>
    <t>六、本年支出小计</t>
    <phoneticPr fontId="23" type="noConversion"/>
  </si>
  <si>
    <t>八、上级补助收入</t>
  </si>
  <si>
    <t>七、补助下级支出</t>
    <phoneticPr fontId="23" type="noConversion"/>
  </si>
  <si>
    <t>九、下级上解收入</t>
  </si>
  <si>
    <t>八、上解上级支出</t>
    <phoneticPr fontId="23" type="noConversion"/>
  </si>
  <si>
    <t>十、本年收入合计</t>
  </si>
  <si>
    <t>九、本年支出合计</t>
    <phoneticPr fontId="23" type="noConversion"/>
  </si>
  <si>
    <t>十、本年收支结余</t>
    <phoneticPr fontId="23" type="noConversion"/>
  </si>
  <si>
    <t>十一、上年结余</t>
  </si>
  <si>
    <t>十一、年末滚存结余</t>
    <phoneticPr fontId="23" type="noConversion"/>
  </si>
  <si>
    <t>二○一五年城镇职工基本医疗保险基金收支表</t>
    <phoneticPr fontId="23" type="noConversion"/>
  </si>
  <si>
    <r>
      <t>社决0</t>
    </r>
    <r>
      <rPr>
        <sz val="12"/>
        <color indexed="8"/>
        <rFont val="宋体"/>
        <family val="3"/>
        <charset val="134"/>
      </rPr>
      <t>5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</si>
  <si>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t>项      目</t>
    <phoneticPr fontId="23" type="noConversion"/>
  </si>
  <si>
    <r>
      <t xml:space="preserve">合  </t>
    </r>
    <r>
      <rPr>
        <sz val="12"/>
        <color indexed="8"/>
        <rFont val="Arial Narrow"/>
        <family val="2"/>
      </rPr>
      <t xml:space="preserve"> </t>
    </r>
    <r>
      <rPr>
        <sz val="12"/>
        <color indexed="8"/>
        <rFont val="宋体"/>
        <family val="3"/>
        <charset val="134"/>
      </rPr>
      <t>计</t>
    </r>
    <phoneticPr fontId="23" type="noConversion"/>
  </si>
  <si>
    <t>统账结合</t>
  </si>
  <si>
    <t>单建统
筹基金</t>
    <phoneticPr fontId="23" type="noConversion"/>
  </si>
  <si>
    <t>合  计</t>
    <phoneticPr fontId="23" type="noConversion"/>
  </si>
  <si>
    <t>小  计</t>
    <phoneticPr fontId="23" type="noConversion"/>
  </si>
  <si>
    <t>基本医疗保
险统筹基金</t>
    <phoneticPr fontId="23" type="noConversion"/>
  </si>
  <si>
    <t>医疗保险个
人账户基金</t>
  </si>
  <si>
    <t>基本医疗保
险统筹基金</t>
  </si>
  <si>
    <t>一、基本医疗保险费收入</t>
  </si>
  <si>
    <t>一、基本医疗保险待遇支出</t>
  </si>
  <si>
    <t xml:space="preserve">    其中：住院支出</t>
    <phoneticPr fontId="23" type="noConversion"/>
  </si>
  <si>
    <t>三、财政补贴收入</t>
  </si>
  <si>
    <t xml:space="preserve">   门诊支出</t>
    <phoneticPr fontId="23" type="noConversion"/>
  </si>
  <si>
    <t>二、其他支出</t>
  </si>
  <si>
    <r>
      <t xml:space="preserve">         </t>
    </r>
    <r>
      <rPr>
        <sz val="10"/>
        <color indexed="8"/>
        <rFont val="宋体"/>
        <family val="3"/>
        <charset val="134"/>
      </rPr>
      <t>其中：滞纳金</t>
    </r>
    <phoneticPr fontId="23" type="noConversion"/>
  </si>
  <si>
    <t>三、转移支出</t>
  </si>
  <si>
    <t>四、本年支出小计</t>
  </si>
  <si>
    <t>七、上级补助收入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</si>
  <si>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</si>
  <si>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</si>
  <si>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</si>
  <si>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</si>
  <si>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</si>
  <si>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r>
      <t>总</t>
    </r>
    <r>
      <rPr>
        <sz val="12"/>
        <color indexed="8"/>
        <rFont val="Arial Narrow"/>
        <family val="2"/>
      </rPr>
      <t xml:space="preserve">      </t>
    </r>
    <r>
      <rPr>
        <sz val="12"/>
        <color indexed="8"/>
        <rFont val="宋体"/>
        <family val="3"/>
        <charset val="134"/>
      </rPr>
      <t>计</t>
    </r>
  </si>
  <si>
    <t>二○一五年城乡居民基本医疗保险基金收支表</t>
    <phoneticPr fontId="23" type="noConversion"/>
  </si>
  <si>
    <r>
      <t>社决0</t>
    </r>
    <r>
      <rPr>
        <sz val="12"/>
        <color indexed="8"/>
        <rFont val="宋体"/>
        <family val="3"/>
        <charset val="134"/>
      </rPr>
      <t>6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</si>
  <si>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t>一、缴费收入</t>
  </si>
  <si>
    <t xml:space="preserve">    其中：医疗救助资助收入</t>
  </si>
  <si>
    <r>
      <t xml:space="preserve"> </t>
    </r>
    <r>
      <rPr>
        <sz val="12"/>
        <color indexed="8"/>
        <rFont val="宋体"/>
        <family val="3"/>
        <charset val="134"/>
      </rPr>
      <t xml:space="preserve">   </t>
    </r>
    <r>
      <rPr>
        <sz val="12"/>
        <color indexed="8"/>
        <rFont val="宋体"/>
        <family val="3"/>
        <charset val="134"/>
      </rPr>
      <t>其中：住院支出</t>
    </r>
    <phoneticPr fontId="23" type="noConversion"/>
  </si>
  <si>
    <r>
      <t xml:space="preserve"> </t>
    </r>
    <r>
      <rPr>
        <sz val="12"/>
        <color indexed="8"/>
        <rFont val="宋体"/>
        <family val="3"/>
        <charset val="134"/>
      </rPr>
      <t xml:space="preserve">         门诊支出</t>
    </r>
    <phoneticPr fontId="23" type="noConversion"/>
  </si>
  <si>
    <t>三、政府资助收入</t>
    <phoneticPr fontId="23" type="noConversion"/>
  </si>
  <si>
    <t>二、购买大病保险支出</t>
    <phoneticPr fontId="23" type="noConversion"/>
  </si>
  <si>
    <r>
      <t xml:space="preserve">    其中:</t>
    </r>
    <r>
      <rPr>
        <sz val="9"/>
        <color indexed="8"/>
        <rFont val="宋体"/>
        <family val="3"/>
        <charset val="134"/>
      </rPr>
      <t>政府按规定标准和参保人数资助收入</t>
    </r>
    <phoneticPr fontId="23" type="noConversion"/>
  </si>
  <si>
    <t>三、其他支出</t>
    <phoneticPr fontId="23" type="noConversion"/>
  </si>
  <si>
    <t>四、转移支出</t>
    <phoneticPr fontId="23" type="noConversion"/>
  </si>
  <si>
    <t>五、本年支出小计</t>
    <phoneticPr fontId="23" type="noConversion"/>
  </si>
  <si>
    <t>六、补助下级支出</t>
    <phoneticPr fontId="23" type="noConversion"/>
  </si>
  <si>
    <t>七、上解上级支出</t>
    <phoneticPr fontId="23" type="noConversion"/>
  </si>
  <si>
    <t>八、本年支出合计</t>
    <phoneticPr fontId="23" type="noConversion"/>
  </si>
  <si>
    <t>九、本年收支结余</t>
    <phoneticPr fontId="23" type="noConversion"/>
  </si>
  <si>
    <t>十、年末滚存结余</t>
    <phoneticPr fontId="23" type="noConversion"/>
  </si>
  <si>
    <t>总      计</t>
    <phoneticPr fontId="23" type="noConversion"/>
  </si>
  <si>
    <t>二○一五年新型农村合作医疗基金收支表</t>
    <phoneticPr fontId="23" type="noConversion"/>
  </si>
  <si>
    <r>
      <t>社决0</t>
    </r>
    <r>
      <rPr>
        <sz val="12"/>
        <color indexed="8"/>
        <rFont val="宋体"/>
        <family val="3"/>
        <charset val="134"/>
      </rPr>
      <t>7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</si>
  <si>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t>金      额</t>
    <phoneticPr fontId="23" type="noConversion"/>
  </si>
  <si>
    <t xml:space="preserve">    其中：统筹基金支出</t>
  </si>
  <si>
    <t xml:space="preserve">          家庭账户基金支出</t>
    <phoneticPr fontId="23" type="noConversion"/>
  </si>
  <si>
    <t>三、政府资助收入</t>
  </si>
  <si>
    <t>二、购买大病保险支出</t>
    <phoneticPr fontId="23" type="noConversion"/>
  </si>
  <si>
    <r>
      <t xml:space="preserve">    其中:</t>
    </r>
    <r>
      <rPr>
        <sz val="9"/>
        <color indexed="8"/>
        <rFont val="宋体"/>
        <family val="3"/>
        <charset val="134"/>
      </rPr>
      <t>政府按规定标准和参合人数资助收入</t>
    </r>
    <phoneticPr fontId="23" type="noConversion"/>
  </si>
  <si>
    <t>三、其他支出</t>
    <phoneticPr fontId="23" type="noConversion"/>
  </si>
  <si>
    <t>四、转移支出</t>
    <phoneticPr fontId="23" type="noConversion"/>
  </si>
  <si>
    <t>五、本年支出小计</t>
    <phoneticPr fontId="23" type="noConversion"/>
  </si>
  <si>
    <t>六、补助下级支出</t>
    <phoneticPr fontId="23" type="noConversion"/>
  </si>
  <si>
    <t>七、上解上级支出</t>
    <phoneticPr fontId="23" type="noConversion"/>
  </si>
  <si>
    <t>八、本年支出合计</t>
    <phoneticPr fontId="23" type="noConversion"/>
  </si>
  <si>
    <t>九、本年收支结余</t>
    <phoneticPr fontId="23" type="noConversion"/>
  </si>
  <si>
    <t>十、年末滚存结余</t>
    <phoneticPr fontId="23" type="noConversion"/>
  </si>
  <si>
    <t>总      计</t>
    <phoneticPr fontId="23" type="noConversion"/>
  </si>
  <si>
    <t>二○一五年城镇居民基本医疗保险基金收支表</t>
    <phoneticPr fontId="23" type="noConversion"/>
  </si>
  <si>
    <r>
      <t>社决0</t>
    </r>
    <r>
      <rPr>
        <sz val="12"/>
        <color indexed="8"/>
        <rFont val="宋体"/>
        <family val="3"/>
        <charset val="134"/>
      </rPr>
      <t>8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</si>
  <si>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t xml:space="preserve">    其中：住院支出</t>
  </si>
  <si>
    <r>
      <t xml:space="preserve">  </t>
    </r>
    <r>
      <rPr>
        <sz val="12"/>
        <color indexed="8"/>
        <rFont val="宋体"/>
        <family val="3"/>
        <charset val="134"/>
      </rPr>
      <t xml:space="preserve">        </t>
    </r>
    <r>
      <rPr>
        <sz val="12"/>
        <color indexed="8"/>
        <rFont val="宋体"/>
        <family val="3"/>
        <charset val="134"/>
      </rPr>
      <t>门诊支出</t>
    </r>
    <phoneticPr fontId="23" type="noConversion"/>
  </si>
  <si>
    <t>二、购买大病保险支出</t>
    <phoneticPr fontId="23" type="noConversion"/>
  </si>
  <si>
    <r>
      <t xml:space="preserve">    其中:</t>
    </r>
    <r>
      <rPr>
        <sz val="9"/>
        <color indexed="8"/>
        <rFont val="宋体"/>
        <family val="3"/>
        <charset val="134"/>
      </rPr>
      <t>政府按规定标准和参保人数资助收入</t>
    </r>
    <phoneticPr fontId="23" type="noConversion"/>
  </si>
  <si>
    <t>三、其他支出</t>
    <phoneticPr fontId="23" type="noConversion"/>
  </si>
  <si>
    <t>四、转移支出</t>
    <phoneticPr fontId="23" type="noConversion"/>
  </si>
  <si>
    <t>五、本年支出小计</t>
    <phoneticPr fontId="23" type="noConversion"/>
  </si>
  <si>
    <t>六、补助下级支出</t>
    <phoneticPr fontId="23" type="noConversion"/>
  </si>
  <si>
    <t>七、上解上级支出</t>
    <phoneticPr fontId="23" type="noConversion"/>
  </si>
  <si>
    <t>八、本年支出合计</t>
    <phoneticPr fontId="23" type="noConversion"/>
  </si>
  <si>
    <t>九、本年收支结余</t>
    <phoneticPr fontId="23" type="noConversion"/>
  </si>
  <si>
    <t>十、年末滚存结余</t>
    <phoneticPr fontId="23" type="noConversion"/>
  </si>
  <si>
    <t>二○一五年工伤保险基金收支表</t>
    <phoneticPr fontId="23" type="noConversion"/>
  </si>
  <si>
    <r>
      <t xml:space="preserve">       社决0</t>
    </r>
    <r>
      <rPr>
        <sz val="12"/>
        <color indexed="8"/>
        <rFont val="宋体"/>
        <family val="3"/>
        <charset val="134"/>
      </rPr>
      <t>9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</si>
  <si>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t>项      目</t>
  </si>
  <si>
    <t>金      额</t>
  </si>
  <si>
    <t>一、工伤保险费收入</t>
  </si>
  <si>
    <t>一、工伤保险待遇支出</t>
  </si>
  <si>
    <t xml:space="preserve">    其中：医疗待遇支出</t>
    <phoneticPr fontId="23" type="noConversion"/>
  </si>
  <si>
    <t>二、劳动能力鉴定费支出</t>
  </si>
  <si>
    <t xml:space="preserve">四、其他收入   </t>
  </si>
  <si>
    <t>三、工伤预防费用支出</t>
  </si>
  <si>
    <t xml:space="preserve">    其中:滞纳金</t>
  </si>
  <si>
    <t xml:space="preserve">八、上解上级支出 </t>
  </si>
  <si>
    <t xml:space="preserve">    其中：储备金</t>
  </si>
  <si>
    <t xml:space="preserve">      其中：储备金</t>
  </si>
  <si>
    <t>二○一五年失业保险基金收支表</t>
    <phoneticPr fontId="23" type="noConversion"/>
  </si>
  <si>
    <t xml:space="preserve">       社决10表</t>
    <phoneticPr fontId="23" type="noConversion"/>
  </si>
  <si>
    <t>一、失业保险费收入</t>
  </si>
  <si>
    <t>一、失业保险金支出</t>
  </si>
  <si>
    <t>四、职业培训补贴支出</t>
  </si>
  <si>
    <t>五、职业介绍补贴支出</t>
  </si>
  <si>
    <t>六、稳定岗位补贴支出</t>
    <phoneticPr fontId="23" type="noConversion"/>
  </si>
  <si>
    <t>七、其他费用支出</t>
    <phoneticPr fontId="23" type="noConversion"/>
  </si>
  <si>
    <t xml:space="preserve">八、其他支出    </t>
    <phoneticPr fontId="23" type="noConversion"/>
  </si>
  <si>
    <t>九、转移支出</t>
    <phoneticPr fontId="23" type="noConversion"/>
  </si>
  <si>
    <t>十、本年支出小计</t>
    <phoneticPr fontId="23" type="noConversion"/>
  </si>
  <si>
    <t>十一、补助下级支出</t>
    <phoneticPr fontId="23" type="noConversion"/>
  </si>
  <si>
    <t xml:space="preserve">十二、上解上级支出 </t>
    <phoneticPr fontId="23" type="noConversion"/>
  </si>
  <si>
    <t>十三、本年支出合计</t>
    <phoneticPr fontId="23" type="noConversion"/>
  </si>
  <si>
    <t>十四、本年收支结余</t>
    <phoneticPr fontId="23" type="noConversion"/>
  </si>
  <si>
    <t>十五、按规定核减基金结余数</t>
    <phoneticPr fontId="23" type="noConversion"/>
  </si>
  <si>
    <t>十、上年结余</t>
    <phoneticPr fontId="23" type="noConversion"/>
  </si>
  <si>
    <t>十六、年末滚存结余</t>
    <phoneticPr fontId="23" type="noConversion"/>
  </si>
  <si>
    <t>二○一五年生育保险基金收支表</t>
    <phoneticPr fontId="23" type="noConversion"/>
  </si>
  <si>
    <r>
      <t>社决1</t>
    </r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</si>
  <si>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t>一、生育保险费收入</t>
  </si>
  <si>
    <t>一、医疗费用支出</t>
    <phoneticPr fontId="23" type="noConversion"/>
  </si>
  <si>
    <t xml:space="preserve">    其中：计划生育医疗费用支出</t>
    <phoneticPr fontId="23" type="noConversion"/>
  </si>
  <si>
    <t>二、生育津贴支出</t>
    <phoneticPr fontId="23" type="noConversion"/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</si>
  <si>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</si>
  <si>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</si>
  <si>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</si>
  <si>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</si>
  <si>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</si>
  <si>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</si>
  <si>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</si>
  <si>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二○一五年社会保障基金财政专户资产负债表</t>
    <phoneticPr fontId="23" type="noConversion"/>
  </si>
  <si>
    <r>
      <t xml:space="preserve"> 社决1</t>
    </r>
    <r>
      <rPr>
        <sz val="12"/>
        <color indexed="8"/>
        <rFont val="宋体"/>
        <family val="3"/>
        <charset val="134"/>
      </rPr>
      <t>2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</si>
  <si>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r>
      <t>项</t>
    </r>
    <r>
      <rPr>
        <sz val="9"/>
        <color indexed="8"/>
        <rFont val="宋体"/>
        <family val="3"/>
        <charset val="134"/>
      </rPr>
      <t xml:space="preserve">      </t>
    </r>
    <r>
      <rPr>
        <sz val="9"/>
        <color indexed="8"/>
        <rFont val="宋体"/>
        <family val="3"/>
        <charset val="134"/>
      </rPr>
      <t>目</t>
    </r>
    <phoneticPr fontId="23" type="noConversion"/>
  </si>
  <si>
    <t>合    计</t>
    <phoneticPr fontId="23" type="noConversion"/>
  </si>
  <si>
    <t>企业职工基本
养老保险基金</t>
  </si>
  <si>
    <t>机关事业单位基本养老保险基金</t>
    <phoneticPr fontId="23" type="noConversion"/>
  </si>
  <si>
    <t>城乡居民基本
医疗保险基金</t>
    <phoneticPr fontId="23" type="noConversion"/>
  </si>
  <si>
    <t>新型农村合作医疗基金</t>
  </si>
  <si>
    <t>城镇居民基本
医疗保险基金</t>
    <phoneticPr fontId="23" type="noConversion"/>
  </si>
  <si>
    <t>就业专项资金</t>
  </si>
  <si>
    <t>城市居民最低
生活保障资金</t>
    <phoneticPr fontId="23" type="noConversion"/>
  </si>
  <si>
    <t>农村最低生
活保障资金</t>
    <phoneticPr fontId="23" type="noConversion"/>
  </si>
  <si>
    <t>城乡医疗救助</t>
    <phoneticPr fontId="23" type="noConversion"/>
  </si>
  <si>
    <t>其他</t>
  </si>
  <si>
    <t>一、年初数</t>
  </si>
  <si>
    <r>
      <t xml:space="preserve">   </t>
    </r>
    <r>
      <rPr>
        <sz val="9"/>
        <color indexed="8"/>
        <rFont val="宋体"/>
        <family val="3"/>
        <charset val="134"/>
      </rPr>
      <t>（一）资产合计</t>
    </r>
  </si>
  <si>
    <r>
      <t xml:space="preserve">      1</t>
    </r>
    <r>
      <rPr>
        <sz val="9"/>
        <color indexed="8"/>
        <rFont val="宋体"/>
        <family val="3"/>
        <charset val="134"/>
      </rPr>
      <t>、银行存款</t>
    </r>
  </si>
  <si>
    <r>
      <t xml:space="preserve">             </t>
    </r>
    <r>
      <rPr>
        <sz val="9"/>
        <color indexed="8"/>
        <rFont val="宋体"/>
        <family val="3"/>
        <charset val="134"/>
      </rPr>
      <t>其中：定期存款</t>
    </r>
    <phoneticPr fontId="23" type="noConversion"/>
  </si>
  <si>
    <r>
      <t xml:space="preserve">      2</t>
    </r>
    <r>
      <rPr>
        <sz val="9"/>
        <color indexed="8"/>
        <rFont val="宋体"/>
        <family val="3"/>
        <charset val="134"/>
      </rPr>
      <t>、债券投资</t>
    </r>
  </si>
  <si>
    <r>
      <t xml:space="preserve">      3</t>
    </r>
    <r>
      <rPr>
        <sz val="9"/>
        <color indexed="8"/>
        <rFont val="宋体"/>
        <family val="3"/>
        <charset val="134"/>
      </rPr>
      <t>、暂付款</t>
    </r>
  </si>
  <si>
    <r>
      <t xml:space="preserve">             </t>
    </r>
    <r>
      <rPr>
        <sz val="9"/>
        <color indexed="8"/>
        <rFont val="宋体"/>
        <family val="3"/>
        <charset val="134"/>
      </rPr>
      <t>其中：委托运营基金</t>
    </r>
    <phoneticPr fontId="23" type="noConversion"/>
  </si>
  <si>
    <r>
      <t xml:space="preserve">      4</t>
    </r>
    <r>
      <rPr>
        <sz val="9"/>
        <color indexed="8"/>
        <rFont val="宋体"/>
        <family val="3"/>
        <charset val="134"/>
      </rPr>
      <t>、借出款项</t>
    </r>
  </si>
  <si>
    <r>
      <t xml:space="preserve">   </t>
    </r>
    <r>
      <rPr>
        <sz val="9"/>
        <color indexed="8"/>
        <rFont val="宋体"/>
        <family val="3"/>
        <charset val="134"/>
      </rPr>
      <t>（二）负债合计</t>
    </r>
  </si>
  <si>
    <r>
      <t xml:space="preserve">      1</t>
    </r>
    <r>
      <rPr>
        <sz val="9"/>
        <color indexed="8"/>
        <rFont val="宋体"/>
        <family val="3"/>
        <charset val="134"/>
      </rPr>
      <t>、借入款项</t>
    </r>
  </si>
  <si>
    <r>
      <t xml:space="preserve">      2</t>
    </r>
    <r>
      <rPr>
        <sz val="9"/>
        <color indexed="8"/>
        <rFont val="宋体"/>
        <family val="3"/>
        <charset val="134"/>
      </rPr>
      <t>、暂收款</t>
    </r>
  </si>
  <si>
    <r>
      <t xml:space="preserve">   </t>
    </r>
    <r>
      <rPr>
        <sz val="9"/>
        <color indexed="8"/>
        <rFont val="宋体"/>
        <family val="3"/>
        <charset val="134"/>
      </rPr>
      <t>（三）基金</t>
    </r>
  </si>
  <si>
    <t>二、年末数</t>
  </si>
  <si>
    <t>二○一五年社会保障基金财政专户收支情况表</t>
    <phoneticPr fontId="23" type="noConversion"/>
  </si>
  <si>
    <r>
      <t xml:space="preserve"> 社决1</t>
    </r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</si>
  <si>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r>
      <t>项</t>
    </r>
    <r>
      <rPr>
        <sz val="9"/>
        <color indexed="8"/>
        <rFont val="宋体"/>
        <family val="3"/>
        <charset val="134"/>
      </rPr>
      <t xml:space="preserve">      </t>
    </r>
    <r>
      <rPr>
        <sz val="9"/>
        <color indexed="8"/>
        <rFont val="宋体"/>
        <family val="3"/>
        <charset val="134"/>
      </rPr>
      <t>目</t>
    </r>
    <phoneticPr fontId="23" type="noConversion"/>
  </si>
  <si>
    <t>合　　计</t>
  </si>
  <si>
    <t>机关事业单位基
本养老保险基金</t>
    <phoneticPr fontId="23" type="noConversion"/>
  </si>
  <si>
    <t>城乡居民
基本养老
保险基金</t>
    <phoneticPr fontId="23" type="noConversion"/>
  </si>
  <si>
    <t>城镇职工基本
医疗保险基金</t>
  </si>
  <si>
    <t>城乡居民基本
医疗保险基金</t>
    <phoneticPr fontId="23" type="noConversion"/>
  </si>
  <si>
    <t>城镇居民基本医疗保险基金</t>
    <phoneticPr fontId="23" type="noConversion"/>
  </si>
  <si>
    <t>城市居民最低生活保障资金</t>
    <phoneticPr fontId="23" type="noConversion"/>
  </si>
  <si>
    <t>农村最低生活保障资金</t>
    <phoneticPr fontId="23" type="noConversion"/>
  </si>
  <si>
    <t>城乡医
疗救助</t>
    <phoneticPr fontId="23" type="noConversion"/>
  </si>
  <si>
    <t>一、上年结余</t>
  </si>
  <si>
    <t>二、本年收入</t>
  </si>
  <si>
    <r>
      <t xml:space="preserve">    </t>
    </r>
    <r>
      <rPr>
        <sz val="9"/>
        <color indexed="8"/>
        <rFont val="宋体"/>
        <family val="3"/>
        <charset val="134"/>
      </rPr>
      <t>其中：收入户划入</t>
    </r>
  </si>
  <si>
    <r>
      <t xml:space="preserve">                </t>
    </r>
    <r>
      <rPr>
        <sz val="9"/>
        <color indexed="8"/>
        <rFont val="宋体"/>
        <family val="3"/>
        <charset val="134"/>
      </rPr>
      <t>国库户划入</t>
    </r>
    <phoneticPr fontId="23" type="noConversion"/>
  </si>
  <si>
    <r>
      <t xml:space="preserve">                </t>
    </r>
    <r>
      <rPr>
        <sz val="9"/>
        <color indexed="8"/>
        <rFont val="宋体"/>
        <family val="3"/>
        <charset val="134"/>
      </rPr>
      <t>财政补贴收入</t>
    </r>
    <phoneticPr fontId="23" type="noConversion"/>
  </si>
  <si>
    <r>
      <t xml:space="preserve">               </t>
    </r>
    <r>
      <rPr>
        <sz val="9"/>
        <color indexed="8"/>
        <rFont val="宋体"/>
        <family val="3"/>
        <charset val="134"/>
      </rPr>
      <t>利息收入</t>
    </r>
    <phoneticPr fontId="23" type="noConversion"/>
  </si>
  <si>
    <t>三、本年支出</t>
  </si>
  <si>
    <r>
      <t xml:space="preserve">     </t>
    </r>
    <r>
      <rPr>
        <sz val="9"/>
        <color indexed="8"/>
        <rFont val="宋体"/>
        <family val="3"/>
        <charset val="134"/>
      </rPr>
      <t>其中：划入支出户</t>
    </r>
  </si>
  <si>
    <t>四、本年收支结余</t>
  </si>
  <si>
    <t>五、年末滚存结余</t>
  </si>
  <si>
    <t>二○一五年财政对社会保险基金补助资金情况表</t>
    <phoneticPr fontId="23" type="noConversion"/>
  </si>
  <si>
    <t>社决附01表</t>
    <phoneticPr fontId="23" type="noConversion"/>
  </si>
  <si>
    <t xml:space="preserve">项      目  </t>
    <phoneticPr fontId="23" type="noConversion"/>
  </si>
  <si>
    <t>企业职工基本养老保险基金</t>
    <phoneticPr fontId="23" type="noConversion"/>
  </si>
  <si>
    <t>城乡居民基本养老保险基金</t>
    <phoneticPr fontId="23" type="noConversion"/>
  </si>
  <si>
    <t>城镇职工基本医疗保险基金</t>
    <phoneticPr fontId="23" type="noConversion"/>
  </si>
  <si>
    <t>城乡居民基本医疗保险基金</t>
    <phoneticPr fontId="23" type="noConversion"/>
  </si>
  <si>
    <t>城镇居民基本医疗保险基金</t>
  </si>
  <si>
    <t>工伤保
险基金</t>
    <phoneticPr fontId="23" type="noConversion"/>
  </si>
  <si>
    <t>生育保
险基金</t>
    <phoneticPr fontId="23" type="noConversion"/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</si>
  <si>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</si>
  <si>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</si>
  <si>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</si>
  <si>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</si>
  <si>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</si>
  <si>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（一）中央级</t>
  </si>
  <si>
    <t>　 （二）省级</t>
  </si>
  <si>
    <t>　 （三）地级</t>
  </si>
  <si>
    <t>　 （四）县级</t>
  </si>
  <si>
    <t>三、本年预算支出</t>
  </si>
  <si>
    <t>　 （二）地级</t>
    <phoneticPr fontId="23" type="noConversion"/>
  </si>
  <si>
    <t>四、本年预算结转</t>
  </si>
  <si>
    <t>二○一五年基本养老保险补充资料表</t>
    <phoneticPr fontId="23" type="noConversion"/>
  </si>
  <si>
    <t>社决附02表</t>
  </si>
  <si>
    <t>单位</t>
  </si>
  <si>
    <t>数      量</t>
    <phoneticPr fontId="23" type="noConversion"/>
  </si>
  <si>
    <t>一、企业职工基本养老保险</t>
    <phoneticPr fontId="23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</si>
  <si>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（十一）</t>
    </r>
    <r>
      <rPr>
        <sz val="10"/>
        <color indexed="8"/>
        <rFont val="宋体"/>
        <family val="3"/>
        <charset val="134"/>
      </rPr>
      <t>暂存税务过渡户存款年末数</t>
    </r>
    <phoneticPr fontId="23" type="noConversion"/>
  </si>
  <si>
    <t>元</t>
    <phoneticPr fontId="23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</si>
  <si>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</t>
    </r>
    <r>
      <rPr>
        <sz val="10"/>
        <color indexed="8"/>
        <rFont val="宋体"/>
        <family val="3"/>
        <charset val="134"/>
      </rPr>
      <t>（一）参保人员年末数</t>
    </r>
    <phoneticPr fontId="23" type="noConversion"/>
  </si>
  <si>
    <t>人</t>
  </si>
  <si>
    <r>
      <t xml:space="preserve"> </t>
    </r>
    <r>
      <rPr>
        <sz val="10"/>
        <color indexed="8"/>
        <rFont val="宋体"/>
        <family val="3"/>
        <charset val="134"/>
      </rPr>
      <t xml:space="preserve">   （十二）</t>
    </r>
    <r>
      <rPr>
        <sz val="10"/>
        <color indexed="8"/>
        <rFont val="宋体"/>
        <family val="3"/>
        <charset val="134"/>
      </rPr>
      <t>调剂金情况</t>
    </r>
    <phoneticPr fontId="23" type="noConversion"/>
  </si>
  <si>
    <r>
      <t xml:space="preserve">　  </t>
    </r>
    <r>
      <rPr>
        <sz val="10"/>
        <color indexed="8"/>
        <rFont val="宋体"/>
        <family val="3"/>
        <charset val="134"/>
      </rPr>
      <t xml:space="preserve">      1.</t>
    </r>
    <r>
      <rPr>
        <sz val="10"/>
        <color indexed="8"/>
        <rFont val="宋体"/>
        <family val="3"/>
        <charset val="134"/>
      </rPr>
      <t>在职职工</t>
    </r>
    <phoneticPr fontId="23" type="noConversion"/>
  </si>
  <si>
    <t>　        1.省级</t>
    <phoneticPr fontId="23" type="noConversion"/>
  </si>
  <si>
    <r>
      <t xml:space="preserve">　　 </t>
    </r>
    <r>
      <rPr>
        <sz val="10"/>
        <color indexed="8"/>
        <rFont val="宋体"/>
        <family val="3"/>
        <charset val="134"/>
      </rPr>
      <t xml:space="preserve">     2.</t>
    </r>
    <r>
      <rPr>
        <sz val="10"/>
        <color indexed="8"/>
        <rFont val="宋体"/>
        <family val="3"/>
        <charset val="134"/>
      </rPr>
      <t>离退休人员</t>
    </r>
    <phoneticPr fontId="23" type="noConversion"/>
  </si>
  <si>
    <r>
      <t xml:space="preserve">           （1）</t>
    </r>
    <r>
      <rPr>
        <sz val="10"/>
        <color indexed="8"/>
        <rFont val="宋体"/>
        <family val="3"/>
        <charset val="134"/>
      </rPr>
      <t>上年结余</t>
    </r>
    <phoneticPr fontId="23" type="noConversion"/>
  </si>
  <si>
    <t>元</t>
  </si>
  <si>
    <r>
      <t xml:space="preserve">        </t>
    </r>
    <r>
      <rPr>
        <sz val="10"/>
        <color indexed="8"/>
        <rFont val="宋体"/>
        <family val="3"/>
        <charset val="134"/>
      </rPr>
      <t xml:space="preserve">   （1）</t>
    </r>
    <r>
      <rPr>
        <sz val="10"/>
        <color indexed="8"/>
        <rFont val="宋体"/>
        <family val="3"/>
        <charset val="134"/>
      </rPr>
      <t>离休人员</t>
    </r>
    <phoneticPr fontId="23" type="noConversion"/>
  </si>
  <si>
    <r>
      <t xml:space="preserve">           （2）</t>
    </r>
    <r>
      <rPr>
        <sz val="10"/>
        <color indexed="8"/>
        <rFont val="宋体"/>
        <family val="3"/>
        <charset val="134"/>
      </rPr>
      <t>本年收入</t>
    </r>
    <phoneticPr fontId="23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</si>
  <si>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    </t>
    </r>
    <r>
      <rPr>
        <sz val="10"/>
        <color indexed="8"/>
        <rFont val="宋体"/>
        <family val="3"/>
        <charset val="134"/>
      </rPr>
      <t xml:space="preserve">  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宋体"/>
        <family val="3"/>
        <charset val="134"/>
      </rPr>
      <t>2</t>
    </r>
    <r>
      <rPr>
        <sz val="10"/>
        <color indexed="8"/>
        <rFont val="宋体"/>
        <family val="3"/>
        <charset val="134"/>
      </rPr>
      <t>）退休、退职人员</t>
    </r>
    <phoneticPr fontId="23" type="noConversion"/>
  </si>
  <si>
    <r>
      <t xml:space="preserve">           （3）</t>
    </r>
    <r>
      <rPr>
        <sz val="10"/>
        <color indexed="8"/>
        <rFont val="宋体"/>
        <family val="3"/>
        <charset val="134"/>
      </rPr>
      <t>本年支出</t>
    </r>
    <phoneticPr fontId="23" type="noConversion"/>
  </si>
  <si>
    <r>
      <t xml:space="preserve">          </t>
    </r>
    <r>
      <rPr>
        <sz val="10"/>
        <color indexed="8"/>
        <rFont val="宋体"/>
        <family val="3"/>
        <charset val="134"/>
      </rPr>
      <t xml:space="preserve">      </t>
    </r>
    <r>
      <rPr>
        <sz val="10"/>
        <color indexed="8"/>
        <rFont val="宋体"/>
        <family val="3"/>
        <charset val="134"/>
      </rPr>
      <t>其中：当年新退休（退职）人员</t>
    </r>
    <phoneticPr fontId="23" type="noConversion"/>
  </si>
  <si>
    <r>
      <t xml:space="preserve">           （4）</t>
    </r>
    <r>
      <rPr>
        <sz val="10"/>
        <color indexed="8"/>
        <rFont val="宋体"/>
        <family val="3"/>
        <charset val="134"/>
      </rPr>
      <t>本年收支结余</t>
    </r>
    <phoneticPr fontId="23" type="noConversion"/>
  </si>
  <si>
    <r>
      <rPr>
        <sz val="10"/>
        <color indexed="8"/>
        <rFont val="宋体"/>
        <family val="3"/>
        <charset val="134"/>
      </rPr>
      <t xml:space="preserve">    （二）</t>
    </r>
    <r>
      <rPr>
        <sz val="10"/>
        <color indexed="8"/>
        <rFont val="宋体"/>
        <family val="3"/>
        <charset val="134"/>
      </rPr>
      <t>实际缴费人员年末数</t>
    </r>
    <phoneticPr fontId="23" type="noConversion"/>
  </si>
  <si>
    <r>
      <t xml:space="preserve">           （5）</t>
    </r>
    <r>
      <rPr>
        <sz val="10"/>
        <color indexed="8"/>
        <rFont val="宋体"/>
        <family val="3"/>
        <charset val="134"/>
      </rPr>
      <t>年末滚存结余</t>
    </r>
    <phoneticPr fontId="23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</si>
  <si>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（三）</t>
    </r>
    <r>
      <rPr>
        <sz val="10"/>
        <color indexed="8"/>
        <rFont val="宋体"/>
        <family val="3"/>
        <charset val="134"/>
      </rPr>
      <t>缴费基数总额</t>
    </r>
    <phoneticPr fontId="23" type="noConversion"/>
  </si>
  <si>
    <t>　        2.地级</t>
    <phoneticPr fontId="23" type="noConversion"/>
  </si>
  <si>
    <r>
      <t xml:space="preserve">　　 </t>
    </r>
    <r>
      <rPr>
        <sz val="10"/>
        <color indexed="8"/>
        <rFont val="宋体"/>
        <family val="3"/>
        <charset val="134"/>
      </rPr>
      <t xml:space="preserve">     1.</t>
    </r>
    <r>
      <rPr>
        <sz val="10"/>
        <color indexed="8"/>
        <rFont val="宋体"/>
        <family val="3"/>
        <charset val="134"/>
      </rPr>
      <t>单位</t>
    </r>
    <phoneticPr fontId="23" type="noConversion"/>
  </si>
  <si>
    <r>
      <t xml:space="preserve">　　 </t>
    </r>
    <r>
      <rPr>
        <sz val="10"/>
        <color indexed="8"/>
        <rFont val="宋体"/>
        <family val="3"/>
        <charset val="134"/>
      </rPr>
      <t xml:space="preserve">     2.</t>
    </r>
    <r>
      <rPr>
        <sz val="10"/>
        <color indexed="8"/>
        <rFont val="宋体"/>
        <family val="3"/>
        <charset val="134"/>
      </rPr>
      <t>个人</t>
    </r>
    <phoneticPr fontId="23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</si>
  <si>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（四）</t>
    </r>
    <r>
      <rPr>
        <sz val="10"/>
        <color indexed="8"/>
        <rFont val="宋体"/>
        <family val="3"/>
        <charset val="134"/>
      </rPr>
      <t>财政补助做实个人账户</t>
    </r>
    <phoneticPr fontId="23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</si>
  <si>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      1.</t>
    </r>
    <r>
      <rPr>
        <sz val="10"/>
        <color indexed="8"/>
        <rFont val="宋体"/>
        <family val="3"/>
        <charset val="134"/>
      </rPr>
      <t>中央</t>
    </r>
    <phoneticPr fontId="23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</si>
  <si>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      2.</t>
    </r>
    <r>
      <rPr>
        <sz val="10"/>
        <color indexed="8"/>
        <rFont val="宋体"/>
        <family val="3"/>
        <charset val="134"/>
      </rPr>
      <t>省级</t>
    </r>
    <phoneticPr fontId="23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</si>
  <si>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      3.</t>
    </r>
    <r>
      <rPr>
        <sz val="10"/>
        <color indexed="8"/>
        <rFont val="宋体"/>
        <family val="3"/>
        <charset val="134"/>
      </rPr>
      <t>市及市以下</t>
    </r>
    <phoneticPr fontId="23" type="noConversion"/>
  </si>
  <si>
    <t>二、机关事业单位基本养老保险</t>
    <phoneticPr fontId="23" type="noConversion"/>
  </si>
  <si>
    <r>
      <t xml:space="preserve">    （五）</t>
    </r>
    <r>
      <rPr>
        <sz val="10"/>
        <color indexed="8"/>
        <rFont val="宋体"/>
        <family val="3"/>
        <charset val="134"/>
      </rPr>
      <t>保险费缴纳情况</t>
    </r>
    <phoneticPr fontId="23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</si>
  <si>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      1.</t>
    </r>
    <r>
      <rPr>
        <sz val="10"/>
        <color indexed="8"/>
        <rFont val="宋体"/>
        <family val="3"/>
        <charset val="134"/>
      </rPr>
      <t>欠费情况</t>
    </r>
    <phoneticPr fontId="23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</si>
  <si>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       （1）</t>
    </r>
    <r>
      <rPr>
        <sz val="10"/>
        <color indexed="8"/>
        <rFont val="宋体"/>
        <family val="3"/>
        <charset val="134"/>
      </rPr>
      <t>上年末累计欠费</t>
    </r>
    <phoneticPr fontId="23" type="noConversion"/>
  </si>
  <si>
    <r>
      <t>　　      2.</t>
    </r>
    <r>
      <rPr>
        <sz val="10"/>
        <color indexed="8"/>
        <rFont val="宋体"/>
        <family val="3"/>
        <charset val="134"/>
      </rPr>
      <t>退休、退职人员</t>
    </r>
    <phoneticPr fontId="23" type="noConversion"/>
  </si>
  <si>
    <r>
      <t xml:space="preserve">           （2）</t>
    </r>
    <r>
      <rPr>
        <sz val="10"/>
        <color indexed="8"/>
        <rFont val="宋体"/>
        <family val="3"/>
        <charset val="134"/>
      </rPr>
      <t>本年补缴以前年度欠费</t>
    </r>
    <phoneticPr fontId="23" type="noConversion"/>
  </si>
  <si>
    <r>
      <t xml:space="preserve">          </t>
    </r>
    <r>
      <rPr>
        <sz val="10"/>
        <color indexed="8"/>
        <rFont val="宋体"/>
        <family val="3"/>
        <charset val="134"/>
      </rPr>
      <t xml:space="preserve">  </t>
    </r>
    <r>
      <rPr>
        <sz val="10"/>
        <color indexed="8"/>
        <rFont val="宋体"/>
        <family val="3"/>
        <charset val="134"/>
      </rPr>
      <t>其中：当年新退休（退职）人员</t>
    </r>
    <phoneticPr fontId="23" type="noConversion"/>
  </si>
  <si>
    <r>
      <t xml:space="preserve">           （3）</t>
    </r>
    <r>
      <rPr>
        <sz val="10"/>
        <color indexed="8"/>
        <rFont val="宋体"/>
        <family val="3"/>
        <charset val="134"/>
      </rPr>
      <t>本年新增欠费</t>
    </r>
    <phoneticPr fontId="23" type="noConversion"/>
  </si>
  <si>
    <r>
      <t xml:space="preserve">           （4）</t>
    </r>
    <r>
      <rPr>
        <sz val="10"/>
        <color indexed="8"/>
        <rFont val="宋体"/>
        <family val="3"/>
        <charset val="134"/>
      </rPr>
      <t>年末累计欠费</t>
    </r>
    <phoneticPr fontId="23" type="noConversion"/>
  </si>
  <si>
    <t xml:space="preserve">          2.本年预缴以后年度基本养老保险费</t>
    <phoneticPr fontId="23" type="noConversion"/>
  </si>
  <si>
    <r>
      <t xml:space="preserve">          </t>
    </r>
    <r>
      <rPr>
        <sz val="10"/>
        <color indexed="8"/>
        <rFont val="宋体"/>
        <family val="3"/>
        <charset val="134"/>
      </rPr>
      <t>3.</t>
    </r>
    <r>
      <rPr>
        <sz val="10"/>
        <color indexed="8"/>
        <rFont val="宋体"/>
        <family val="3"/>
        <charset val="134"/>
      </rPr>
      <t>一次性补缴以前年度基本养老保险费</t>
    </r>
    <phoneticPr fontId="23" type="noConversion"/>
  </si>
  <si>
    <t xml:space="preserve">    （六）基本养老金发放情况</t>
    <phoneticPr fontId="23" type="noConversion"/>
  </si>
  <si>
    <t xml:space="preserve">    （四）享受病残津贴人数</t>
    <phoneticPr fontId="23" type="noConversion"/>
  </si>
  <si>
    <t>人</t>
    <phoneticPr fontId="23" type="noConversion"/>
  </si>
  <si>
    <t xml:space="preserve">          1.上年末累计欠发数</t>
    <phoneticPr fontId="23" type="noConversion"/>
  </si>
  <si>
    <t xml:space="preserve">          2.本年补发以前年度拖欠数</t>
    <phoneticPr fontId="23" type="noConversion"/>
  </si>
  <si>
    <r>
      <t xml:space="preserve">          1.</t>
    </r>
    <r>
      <rPr>
        <sz val="10"/>
        <color indexed="8"/>
        <rFont val="宋体"/>
        <family val="3"/>
        <charset val="134"/>
      </rPr>
      <t>本年新增欠费</t>
    </r>
    <phoneticPr fontId="23" type="noConversion"/>
  </si>
  <si>
    <t xml:space="preserve">          3.本年新增欠发数</t>
    <phoneticPr fontId="23" type="noConversion"/>
  </si>
  <si>
    <r>
      <t xml:space="preserve">          2.</t>
    </r>
    <r>
      <rPr>
        <sz val="10"/>
        <color indexed="8"/>
        <rFont val="宋体"/>
        <family val="3"/>
        <charset val="134"/>
      </rPr>
      <t>年末累计欠费</t>
    </r>
    <phoneticPr fontId="23" type="noConversion"/>
  </si>
  <si>
    <t xml:space="preserve">          4.年末累计欠发数</t>
    <phoneticPr fontId="23" type="noConversion"/>
  </si>
  <si>
    <t xml:space="preserve">          3.本年预缴以后年度基本养老保险费</t>
    <phoneticPr fontId="23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</si>
  <si>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  （七）</t>
    </r>
    <r>
      <rPr>
        <sz val="10"/>
        <color indexed="8"/>
        <rFont val="宋体"/>
        <family val="3"/>
        <charset val="134"/>
      </rPr>
      <t>以个人身份参保人员情况</t>
    </r>
    <phoneticPr fontId="23" type="noConversion"/>
  </si>
  <si>
    <r>
      <t xml:space="preserve">          4.</t>
    </r>
    <r>
      <rPr>
        <sz val="10"/>
        <color indexed="8"/>
        <rFont val="宋体"/>
        <family val="3"/>
        <charset val="134"/>
      </rPr>
      <t>一次性补缴以前年度基本养老保险费</t>
    </r>
    <phoneticPr fontId="23" type="noConversion"/>
  </si>
  <si>
    <t xml:space="preserve">          1.参保人数</t>
    <phoneticPr fontId="23" type="noConversion"/>
  </si>
  <si>
    <r>
      <t xml:space="preserve">    （六）</t>
    </r>
    <r>
      <rPr>
        <sz val="10"/>
        <color indexed="8"/>
        <rFont val="宋体"/>
        <family val="3"/>
        <charset val="134"/>
      </rPr>
      <t>个人账户情况</t>
    </r>
    <phoneticPr fontId="23" type="noConversion"/>
  </si>
  <si>
    <t xml:space="preserve">          2.实际缴费人数</t>
    <phoneticPr fontId="23" type="noConversion"/>
  </si>
  <si>
    <t xml:space="preserve">          1.建立个人账户年末人数</t>
    <phoneticPr fontId="23" type="noConversion"/>
  </si>
  <si>
    <t xml:space="preserve">          3.缴费基数总额</t>
    <phoneticPr fontId="23" type="noConversion"/>
  </si>
  <si>
    <t xml:space="preserve">          2.年末个人账户记账金额</t>
    <phoneticPr fontId="23" type="noConversion"/>
  </si>
  <si>
    <r>
      <t xml:space="preserve">    （八）</t>
    </r>
    <r>
      <rPr>
        <sz val="10"/>
        <color indexed="8"/>
        <rFont val="宋体"/>
        <family val="3"/>
        <charset val="134"/>
      </rPr>
      <t>个人账户情况</t>
    </r>
    <phoneticPr fontId="23" type="noConversion"/>
  </si>
  <si>
    <t xml:space="preserve">          3.年末累计做实个人账户</t>
    <phoneticPr fontId="23" type="noConversion"/>
  </si>
  <si>
    <r>
      <t xml:space="preserve">    （七）基金</t>
    </r>
    <r>
      <rPr>
        <sz val="10"/>
        <color indexed="8"/>
        <rFont val="宋体"/>
        <family val="3"/>
        <charset val="134"/>
      </rPr>
      <t>暂存其他账户存款年末数</t>
    </r>
    <phoneticPr fontId="23" type="noConversion"/>
  </si>
  <si>
    <t xml:space="preserve">          1.经办机构收入户</t>
    <phoneticPr fontId="23" type="noConversion"/>
  </si>
  <si>
    <r>
      <t xml:space="preserve">    （九）</t>
    </r>
    <r>
      <rPr>
        <sz val="10"/>
        <color indexed="8"/>
        <rFont val="宋体"/>
        <family val="3"/>
        <charset val="134"/>
      </rPr>
      <t>做实个人账户情况</t>
    </r>
    <phoneticPr fontId="23" type="noConversion"/>
  </si>
  <si>
    <t xml:space="preserve">          2.国库户</t>
    <phoneticPr fontId="23" type="noConversion"/>
  </si>
  <si>
    <t xml:space="preserve">          1.上年末累计做实个人账户</t>
    <phoneticPr fontId="23" type="noConversion"/>
  </si>
  <si>
    <r>
      <t xml:space="preserve">    （八）</t>
    </r>
    <r>
      <rPr>
        <sz val="10"/>
        <color indexed="8"/>
        <rFont val="宋体"/>
        <family val="3"/>
        <charset val="134"/>
      </rPr>
      <t>暂存税务过渡户存款年末数</t>
    </r>
    <phoneticPr fontId="23" type="noConversion"/>
  </si>
  <si>
    <t xml:space="preserve">          2.本年新增做实个人账户</t>
    <phoneticPr fontId="23" type="noConversion"/>
  </si>
  <si>
    <t>三、城乡居民基本养老保险</t>
    <phoneticPr fontId="23" type="noConversion"/>
  </si>
  <si>
    <t xml:space="preserve">          3.本年做实个人账户支出</t>
    <phoneticPr fontId="23" type="noConversion"/>
  </si>
  <si>
    <t xml:space="preserve">          4.年末累计做实个人账户</t>
    <phoneticPr fontId="23" type="noConversion"/>
  </si>
  <si>
    <r>
      <t xml:space="preserve">    </t>
    </r>
    <r>
      <rPr>
        <sz val="10"/>
        <color indexed="8"/>
        <rFont val="宋体"/>
        <family val="3"/>
        <charset val="134"/>
      </rPr>
      <t>（二）实际缴费人员年末数</t>
    </r>
    <phoneticPr fontId="23" type="noConversion"/>
  </si>
  <si>
    <r>
      <t xml:space="preserve">    （十）基金</t>
    </r>
    <r>
      <rPr>
        <sz val="10"/>
        <color indexed="8"/>
        <rFont val="宋体"/>
        <family val="3"/>
        <charset val="134"/>
      </rPr>
      <t>暂存其他账户存款年末数</t>
    </r>
    <phoneticPr fontId="23" type="noConversion"/>
  </si>
  <si>
    <r>
      <t xml:space="preserve">    </t>
    </r>
    <r>
      <rPr>
        <sz val="10"/>
        <color indexed="8"/>
        <rFont val="宋体"/>
        <family val="3"/>
        <charset val="134"/>
      </rPr>
      <t>（三）养老金领取人员年末数</t>
    </r>
    <phoneticPr fontId="23" type="noConversion"/>
  </si>
  <si>
    <t xml:space="preserve">          其中：当年新领取人员年末数</t>
    <phoneticPr fontId="23" type="noConversion"/>
  </si>
  <si>
    <r>
      <t xml:space="preserve">    </t>
    </r>
    <r>
      <rPr>
        <sz val="10"/>
        <color indexed="8"/>
        <rFont val="宋体"/>
        <family val="3"/>
        <charset val="134"/>
      </rPr>
      <t>（四）代缴困难群体保险费人员年末数</t>
    </r>
    <phoneticPr fontId="23" type="noConversion"/>
  </si>
  <si>
    <t>二○一五年城镇职工基本医疗保险、工伤保险、生育保险补充资料表</t>
    <phoneticPr fontId="23" type="noConversion"/>
  </si>
  <si>
    <t>社决附03表</t>
    <phoneticPr fontId="23" type="noConversion"/>
  </si>
  <si>
    <t>一、城镇职工基本医疗保险</t>
  </si>
  <si>
    <t xml:space="preserve">              退休人员</t>
  </si>
  <si>
    <t>人次</t>
    <phoneticPr fontId="23" type="noConversion"/>
  </si>
  <si>
    <t xml:space="preserve">  （一）参保人员年末数</t>
    <phoneticPr fontId="23" type="noConversion"/>
  </si>
  <si>
    <t>二、工伤保险</t>
    <phoneticPr fontId="23" type="noConversion"/>
  </si>
  <si>
    <t xml:space="preserve">      1.在职职工</t>
    <phoneticPr fontId="23" type="noConversion"/>
  </si>
  <si>
    <t xml:space="preserve">      2.退休人员</t>
    <phoneticPr fontId="23" type="noConversion"/>
  </si>
  <si>
    <t xml:space="preserve">  （二）实际缴费人员年末数</t>
    <phoneticPr fontId="23" type="noConversion"/>
  </si>
  <si>
    <t xml:space="preserve">  （二）缴费基数总额</t>
    <phoneticPr fontId="23" type="noConversion"/>
  </si>
  <si>
    <t xml:space="preserve">  （三）缴费基数总额</t>
    <phoneticPr fontId="23" type="noConversion"/>
  </si>
  <si>
    <t xml:space="preserve">      1.单位</t>
    <phoneticPr fontId="23" type="noConversion"/>
  </si>
  <si>
    <t xml:space="preserve">  （四）享受工伤保险待遇全年人数</t>
    <phoneticPr fontId="23" type="noConversion"/>
  </si>
  <si>
    <t xml:space="preserve">      2.个人</t>
    <phoneticPr fontId="23" type="noConversion"/>
  </si>
  <si>
    <t xml:space="preserve">  （五）保险费缴纳情况</t>
    <phoneticPr fontId="23" type="noConversion"/>
  </si>
  <si>
    <t xml:space="preserve">  （三）保险费缴纳情况</t>
    <phoneticPr fontId="23" type="noConversion"/>
  </si>
  <si>
    <r>
      <t xml:space="preserve">      </t>
    </r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.本年补缴以前年度欠费</t>
    </r>
    <phoneticPr fontId="23" type="noConversion"/>
  </si>
  <si>
    <t xml:space="preserve">      1.欠费情况</t>
    <phoneticPr fontId="23" type="noConversion"/>
  </si>
  <si>
    <r>
      <t xml:space="preserve">      </t>
    </r>
    <r>
      <rPr>
        <sz val="12"/>
        <color indexed="8"/>
        <rFont val="宋体"/>
        <family val="3"/>
        <charset val="134"/>
      </rPr>
      <t>2</t>
    </r>
    <r>
      <rPr>
        <sz val="12"/>
        <color indexed="8"/>
        <rFont val="宋体"/>
        <family val="3"/>
        <charset val="134"/>
      </rPr>
      <t>.年末累计欠费</t>
    </r>
    <phoneticPr fontId="23" type="noConversion"/>
  </si>
  <si>
    <t xml:space="preserve">     （1）上年末累计欠费</t>
    <phoneticPr fontId="23" type="noConversion"/>
  </si>
  <si>
    <r>
      <t xml:space="preserve">      3</t>
    </r>
    <r>
      <rPr>
        <sz val="12"/>
        <color indexed="8"/>
        <rFont val="宋体"/>
        <family val="3"/>
        <charset val="134"/>
      </rPr>
      <t>.本年预缴以后年度工伤保险费</t>
    </r>
    <phoneticPr fontId="23" type="noConversion"/>
  </si>
  <si>
    <t xml:space="preserve">     （2）本年补缴以前年度欠费</t>
    <phoneticPr fontId="23" type="noConversion"/>
  </si>
  <si>
    <t xml:space="preserve">      4.一次性补缴以前年度工伤保险费</t>
    <phoneticPr fontId="23" type="noConversion"/>
  </si>
  <si>
    <t xml:space="preserve">     （3）本年新增欠费</t>
    <phoneticPr fontId="23" type="noConversion"/>
  </si>
  <si>
    <t xml:space="preserve">  （六）基金暂存其他账户存款年末数</t>
    <phoneticPr fontId="23" type="noConversion"/>
  </si>
  <si>
    <t xml:space="preserve">     （4）年末累计欠费</t>
    <phoneticPr fontId="23" type="noConversion"/>
  </si>
  <si>
    <r>
      <t xml:space="preserve">　  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>1.经办机构收入户</t>
    </r>
    <phoneticPr fontId="23" type="noConversion"/>
  </si>
  <si>
    <t>　    2.本年预缴以后年度基本医疗保险费</t>
    <phoneticPr fontId="23" type="noConversion"/>
  </si>
  <si>
    <r>
      <t xml:space="preserve">　  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>2.国库户</t>
    </r>
    <phoneticPr fontId="23" type="noConversion"/>
  </si>
  <si>
    <t xml:space="preserve">  （四）基金暂存其他账户存款年末数</t>
    <phoneticPr fontId="23" type="noConversion"/>
  </si>
  <si>
    <t xml:space="preserve">  （七）暂存税务过渡户存款年末数</t>
    <phoneticPr fontId="23" type="noConversion"/>
  </si>
  <si>
    <t>　    1.经办机构收入户</t>
    <phoneticPr fontId="23" type="noConversion"/>
  </si>
  <si>
    <t>三、生育保险</t>
  </si>
  <si>
    <t>　    2.国库户</t>
    <phoneticPr fontId="23" type="noConversion"/>
  </si>
  <si>
    <t xml:space="preserve">  （一）参保人员年末数</t>
  </si>
  <si>
    <t xml:space="preserve">  （五）暂存税务过渡户存款年末数</t>
    <phoneticPr fontId="23" type="noConversion"/>
  </si>
  <si>
    <t xml:space="preserve">  （二）享受生育医疗费报销全年人次数</t>
  </si>
  <si>
    <t>人次</t>
  </si>
  <si>
    <t xml:space="preserve">  （六）统筹基金待遇享受情况</t>
    <phoneticPr fontId="23" type="noConversion"/>
  </si>
  <si>
    <t xml:space="preserve">  （三）享受生育津贴人次数</t>
  </si>
  <si>
    <t xml:space="preserve">      1.参保人员住院人次数</t>
    <phoneticPr fontId="23" type="noConversion"/>
  </si>
  <si>
    <t xml:space="preserve">  （四）基金暂存其他账户存款年末数</t>
  </si>
  <si>
    <t xml:space="preserve">        其中：在职职工</t>
    <phoneticPr fontId="23" type="noConversion"/>
  </si>
  <si>
    <r>
      <t xml:space="preserve">　   </t>
    </r>
    <r>
      <rPr>
        <sz val="12"/>
        <color indexed="8"/>
        <rFont val="宋体"/>
        <family val="3"/>
        <charset val="134"/>
      </rPr>
      <t xml:space="preserve"> 1.</t>
    </r>
    <r>
      <rPr>
        <sz val="12"/>
        <color indexed="8"/>
        <rFont val="宋体"/>
        <family val="3"/>
        <charset val="134"/>
      </rPr>
      <t>经办机构收入户</t>
    </r>
    <phoneticPr fontId="23" type="noConversion"/>
  </si>
  <si>
    <t xml:space="preserve">              退休人员</t>
    <phoneticPr fontId="23" type="noConversion"/>
  </si>
  <si>
    <r>
      <t xml:space="preserve"> </t>
    </r>
    <r>
      <rPr>
        <sz val="12"/>
        <color indexed="8"/>
        <rFont val="宋体"/>
        <family val="3"/>
        <charset val="134"/>
      </rPr>
      <t xml:space="preserve">     2.</t>
    </r>
    <r>
      <rPr>
        <sz val="12"/>
        <color indexed="8"/>
        <rFont val="宋体"/>
        <family val="3"/>
        <charset val="134"/>
      </rPr>
      <t>国库户</t>
    </r>
    <phoneticPr fontId="23" type="noConversion"/>
  </si>
  <si>
    <t xml:space="preserve">      2.参保人员门诊人次数</t>
    <phoneticPr fontId="23" type="noConversion"/>
  </si>
  <si>
    <t xml:space="preserve">  （五）暂存税务过渡户存款年末数</t>
  </si>
  <si>
    <t xml:space="preserve">        其中：在职职工</t>
  </si>
  <si>
    <t>二○一五年居民基本医疗保险补充资料表</t>
    <phoneticPr fontId="23" type="noConversion"/>
  </si>
  <si>
    <t>社决附04表</t>
    <phoneticPr fontId="23" type="noConversion"/>
  </si>
  <si>
    <t xml:space="preserve">项      目 </t>
    <phoneticPr fontId="23" type="noConversion"/>
  </si>
  <si>
    <r>
      <t xml:space="preserve">数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>量</t>
    </r>
    <phoneticPr fontId="23" type="noConversion"/>
  </si>
  <si>
    <t>一、城乡居民基本医疗保险</t>
  </si>
  <si>
    <t>三、城镇居民基本医疗保险</t>
    <phoneticPr fontId="23" type="noConversion"/>
  </si>
  <si>
    <r>
      <t xml:space="preserve">   (</t>
    </r>
    <r>
      <rPr>
        <sz val="12"/>
        <color indexed="8"/>
        <rFont val="宋体"/>
        <family val="3"/>
        <charset val="134"/>
      </rPr>
      <t>一)参保人员年末数</t>
    </r>
    <phoneticPr fontId="23" type="noConversion"/>
  </si>
  <si>
    <r>
      <t xml:space="preserve">   (</t>
    </r>
    <r>
      <rPr>
        <sz val="12"/>
        <color indexed="8"/>
        <rFont val="宋体"/>
        <family val="3"/>
        <charset val="134"/>
      </rPr>
      <t>二</t>
    </r>
    <r>
      <rPr>
        <sz val="12"/>
        <color indexed="8"/>
        <rFont val="宋体"/>
        <family val="3"/>
        <charset val="134"/>
      </rPr>
      <t>)</t>
    </r>
    <r>
      <rPr>
        <sz val="12"/>
        <color indexed="8"/>
        <rFont val="宋体"/>
        <family val="3"/>
        <charset val="134"/>
      </rPr>
      <t>享受待遇人次数</t>
    </r>
    <phoneticPr fontId="23" type="noConversion"/>
  </si>
  <si>
    <t xml:space="preserve">       其中：1.未成年人及学生（含大学生）</t>
    <phoneticPr fontId="23" type="noConversion"/>
  </si>
  <si>
    <t xml:space="preserve">   (三)购买大病保险覆盖人数</t>
    <phoneticPr fontId="23" type="noConversion"/>
  </si>
  <si>
    <t xml:space="preserve">             2.60周岁以上老年人</t>
  </si>
  <si>
    <t>二、新型农村合作医疗</t>
    <phoneticPr fontId="23" type="noConversion"/>
  </si>
  <si>
    <t xml:space="preserve">             3.其他人员</t>
  </si>
  <si>
    <t xml:space="preserve">   (二)享受待遇人次数</t>
  </si>
  <si>
    <t xml:space="preserve">       其中：代缴费人数</t>
    <phoneticPr fontId="23" type="noConversion"/>
  </si>
  <si>
    <t xml:space="preserve">   (三)购买大病保险覆盖人数</t>
  </si>
  <si>
    <r>
      <t xml:space="preserve">   (</t>
    </r>
    <r>
      <rPr>
        <sz val="12"/>
        <color indexed="8"/>
        <rFont val="宋体"/>
        <family val="3"/>
        <charset val="134"/>
      </rPr>
      <t>二)享受待遇人次数</t>
    </r>
    <phoneticPr fontId="23" type="noConversion"/>
  </si>
  <si>
    <t>四、大学生基本医疗保险（为城镇居民基本医疗保险数据中的其中数）</t>
    <phoneticPr fontId="23" type="noConversion"/>
  </si>
  <si>
    <t xml:space="preserve">   (一)参保人员年末数</t>
  </si>
  <si>
    <r>
      <t xml:space="preserve">   (</t>
    </r>
    <r>
      <rPr>
        <sz val="12"/>
        <color indexed="8"/>
        <rFont val="宋体"/>
        <family val="3"/>
        <charset val="134"/>
      </rPr>
      <t>四)享受大病保险人次数</t>
    </r>
    <phoneticPr fontId="23" type="noConversion"/>
  </si>
  <si>
    <r>
      <t xml:space="preserve">   (</t>
    </r>
    <r>
      <rPr>
        <sz val="12"/>
        <color indexed="8"/>
        <rFont val="宋体"/>
        <family val="3"/>
        <charset val="134"/>
      </rPr>
      <t>五)暂存省级风险基金</t>
    </r>
    <phoneticPr fontId="23" type="noConversion"/>
  </si>
  <si>
    <t xml:space="preserve">   (三)享受大病保险人次数</t>
    <phoneticPr fontId="23" type="noConversion"/>
  </si>
  <si>
    <t>二○一五年失业保险补充资料表</t>
    <phoneticPr fontId="23" type="noConversion"/>
  </si>
  <si>
    <t>社决附05表</t>
    <phoneticPr fontId="23" type="noConversion"/>
  </si>
  <si>
    <t>一、参保人员年末数</t>
  </si>
  <si>
    <t xml:space="preserve">    （四）享受稳定岗位补贴企业参加失业保险人数</t>
    <phoneticPr fontId="23" type="noConversion"/>
  </si>
  <si>
    <t xml:space="preserve">    其中：实际缴费人员年末数</t>
  </si>
  <si>
    <t xml:space="preserve">    （五）享受农民合同制工人一次性生活补助人数</t>
    <phoneticPr fontId="23" type="noConversion"/>
  </si>
  <si>
    <t>二、缴费基数总额</t>
  </si>
  <si>
    <t xml:space="preserve">    （六）享受其他促进就业支出人数</t>
    <phoneticPr fontId="23" type="noConversion"/>
  </si>
  <si>
    <r>
      <t xml:space="preserve"> </t>
    </r>
    <r>
      <rPr>
        <sz val="12"/>
        <color indexed="8"/>
        <rFont val="宋体"/>
        <family val="3"/>
        <charset val="134"/>
      </rPr>
      <t xml:space="preserve">   1.单位</t>
    </r>
    <phoneticPr fontId="23" type="noConversion"/>
  </si>
  <si>
    <t>六、省级调剂金情况</t>
    <phoneticPr fontId="23" type="noConversion"/>
  </si>
  <si>
    <t xml:space="preserve">    2.个人</t>
    <phoneticPr fontId="23" type="noConversion"/>
  </si>
  <si>
    <t xml:space="preserve">    （一）年初结余</t>
    <phoneticPr fontId="23" type="noConversion"/>
  </si>
  <si>
    <t>三、保险费缴纳情况</t>
    <phoneticPr fontId="23" type="noConversion"/>
  </si>
  <si>
    <t xml:space="preserve">    （二）本年收入</t>
    <phoneticPr fontId="23" type="noConversion"/>
  </si>
  <si>
    <t xml:space="preserve">    （一）上年末累计欠费</t>
  </si>
  <si>
    <t xml:space="preserve">    （三）本年支出</t>
    <phoneticPr fontId="23" type="noConversion"/>
  </si>
  <si>
    <t xml:space="preserve">    （二）本年补缴以前年度欠费</t>
  </si>
  <si>
    <t xml:space="preserve">    （四）本年收支结余</t>
    <phoneticPr fontId="23" type="noConversion"/>
  </si>
  <si>
    <t xml:space="preserve">    （三）本年新增欠费</t>
  </si>
  <si>
    <t>　　（五）年末滚存结余</t>
    <phoneticPr fontId="23" type="noConversion"/>
  </si>
  <si>
    <t xml:space="preserve">    （四）年末累计欠费</t>
  </si>
  <si>
    <t>七、以前年度借出生产自救费处理情况</t>
    <phoneticPr fontId="23" type="noConversion"/>
  </si>
  <si>
    <t>四、领取失业保险金情况</t>
    <phoneticPr fontId="23" type="noConversion"/>
  </si>
  <si>
    <t>　　（一）年初数</t>
  </si>
  <si>
    <t xml:space="preserve">    （一）领取失业保险金年末人数</t>
    <phoneticPr fontId="23" type="noConversion"/>
  </si>
  <si>
    <t>　　（二）本年收回并入基金数</t>
  </si>
  <si>
    <t xml:space="preserve">    （二）全年领取失业保险金人数</t>
    <phoneticPr fontId="23" type="noConversion"/>
  </si>
  <si>
    <t>　　（三）本年收回留给经办机构数</t>
  </si>
  <si>
    <r>
      <t xml:space="preserve">    （三）</t>
    </r>
    <r>
      <rPr>
        <sz val="11"/>
        <color indexed="8"/>
        <rFont val="宋体"/>
        <family val="3"/>
        <charset val="134"/>
      </rPr>
      <t>全年领取失业保险金人月数</t>
    </r>
    <phoneticPr fontId="23" type="noConversion"/>
  </si>
  <si>
    <t>人月</t>
    <phoneticPr fontId="23" type="noConversion"/>
  </si>
  <si>
    <t>　　（四）本年核销数</t>
  </si>
  <si>
    <t xml:space="preserve">    （四）月人均领取失业保险金</t>
    <phoneticPr fontId="23" type="noConversion"/>
  </si>
  <si>
    <t>元/人月</t>
  </si>
  <si>
    <t>　　（五）年末数</t>
  </si>
  <si>
    <t>五、享受其他待遇情况</t>
    <phoneticPr fontId="23" type="noConversion"/>
  </si>
  <si>
    <t>八、基金暂存其他账户款年末数</t>
    <phoneticPr fontId="23" type="noConversion"/>
  </si>
  <si>
    <t xml:space="preserve">    （一）代缴医疗保险费人月数</t>
    <phoneticPr fontId="23" type="noConversion"/>
  </si>
  <si>
    <t xml:space="preserve">    （一）经办机构收入户</t>
  </si>
  <si>
    <t xml:space="preserve">    （二）享受职业培训人数</t>
    <phoneticPr fontId="23" type="noConversion"/>
  </si>
  <si>
    <t xml:space="preserve">    （二）国库户</t>
  </si>
  <si>
    <t xml:space="preserve">    （三）享受职业介绍人数</t>
    <phoneticPr fontId="23" type="noConversion"/>
  </si>
  <si>
    <t>八、暂存税务过渡户存款年末数</t>
  </si>
  <si>
    <t>二○一五年其他养老保险情况表</t>
    <phoneticPr fontId="23" type="noConversion"/>
  </si>
  <si>
    <t xml:space="preserve"> 社决附06表</t>
    <phoneticPr fontId="23" type="noConversion"/>
  </si>
  <si>
    <t>个人储蓄养老保险</t>
  </si>
  <si>
    <t>企业补充养老保险</t>
  </si>
  <si>
    <t>一、基金收支情况</t>
  </si>
  <si>
    <t xml:space="preserve">    （一）上年结余</t>
  </si>
  <si>
    <t xml:space="preserve">    （二）本年收入</t>
  </si>
  <si>
    <t xml:space="preserve">          其中：保险费收入</t>
  </si>
  <si>
    <t xml:space="preserve">    （三）本年支出</t>
  </si>
  <si>
    <t xml:space="preserve">          其中：养老金支出</t>
  </si>
  <si>
    <t xml:space="preserve">    （四）本年收支结余</t>
  </si>
  <si>
    <t xml:space="preserve">    （五）年末滚存结余</t>
  </si>
  <si>
    <t>二、参保人员年末数</t>
  </si>
  <si>
    <t xml:space="preserve">    其中：领取养老金人员年末数</t>
  </si>
  <si>
    <t>二○一五年其他医疗保障情况表</t>
    <phoneticPr fontId="23" type="noConversion"/>
  </si>
  <si>
    <t xml:space="preserve">                                  社决附07表</t>
    <phoneticPr fontId="23" type="noConversion"/>
  </si>
  <si>
    <t>一、特殊人员医疗保障情况</t>
  </si>
  <si>
    <t xml:space="preserve">        5、年末滚存结余</t>
  </si>
  <si>
    <t xml:space="preserve">    (一)收支情况</t>
    <phoneticPr fontId="23" type="noConversion"/>
  </si>
  <si>
    <t xml:space="preserve">    (二)参保人员年末数</t>
    <phoneticPr fontId="23" type="noConversion"/>
  </si>
  <si>
    <t xml:space="preserve">        1、上年结余</t>
    <phoneticPr fontId="23" type="noConversion"/>
  </si>
  <si>
    <t>三、优抚对象医疗救助</t>
  </si>
  <si>
    <t xml:space="preserve">        2、本年收入</t>
    <phoneticPr fontId="23" type="noConversion"/>
  </si>
  <si>
    <t xml:space="preserve">           其中：财政补贴收入</t>
    <phoneticPr fontId="23" type="noConversion"/>
  </si>
  <si>
    <t xml:space="preserve">        3、本年支出</t>
    <phoneticPr fontId="23" type="noConversion"/>
  </si>
  <si>
    <t xml:space="preserve">        4、本年收支结余</t>
    <phoneticPr fontId="23" type="noConversion"/>
  </si>
  <si>
    <t xml:space="preserve">        5、年末滚存结余</t>
    <phoneticPr fontId="23" type="noConversion"/>
  </si>
  <si>
    <t xml:space="preserve">    (二)保障人数</t>
    <phoneticPr fontId="23" type="noConversion"/>
  </si>
  <si>
    <t xml:space="preserve">        1、离休、老红军</t>
    <phoneticPr fontId="23" type="noConversion"/>
  </si>
  <si>
    <t xml:space="preserve">    (二)全年累计救助人数</t>
    <phoneticPr fontId="23" type="noConversion"/>
  </si>
  <si>
    <t xml:space="preserve">        2、六级以上残疾军人</t>
    <phoneticPr fontId="23" type="noConversion"/>
  </si>
  <si>
    <t>四、补充医疗保险情况</t>
  </si>
  <si>
    <t>二、公务员医疗补助情况</t>
  </si>
  <si>
    <t xml:space="preserve">           其中：财政补贴收入</t>
  </si>
  <si>
    <t>目录（深圳自有部分）</t>
    <phoneticPr fontId="23" type="noConversion"/>
  </si>
  <si>
    <t>一、深圳市自有社会保险基金资产负债表........................................</t>
    <phoneticPr fontId="23" type="noConversion"/>
  </si>
  <si>
    <t>社自决01表</t>
    <phoneticPr fontId="23" type="noConversion"/>
  </si>
  <si>
    <t>二、机关事业单位基本养老保险基金收支表............................................</t>
    <phoneticPr fontId="23" type="noConversion"/>
  </si>
  <si>
    <r>
      <t>社自决0</t>
    </r>
    <r>
      <rPr>
        <sz val="12"/>
        <color indexed="8"/>
        <rFont val="宋体"/>
        <family val="3"/>
        <charset val="134"/>
      </rPr>
      <t>2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</si>
  <si>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t>三、地方补充养老保险基金收支表............................................</t>
    <phoneticPr fontId="23" type="noConversion"/>
  </si>
  <si>
    <r>
      <t>社自决0</t>
    </r>
    <r>
      <rPr>
        <sz val="12"/>
        <color indexed="8"/>
        <rFont val="宋体"/>
        <family val="3"/>
        <charset val="134"/>
      </rPr>
      <t>3表</t>
    </r>
    <phoneticPr fontId="23" type="noConversion"/>
  </si>
  <si>
    <t>四、地方补充医疗保险基金收支表............................................</t>
    <phoneticPr fontId="23" type="noConversion"/>
  </si>
  <si>
    <r>
      <t>社自决0</t>
    </r>
    <r>
      <rPr>
        <sz val="12"/>
        <color indexed="8"/>
        <rFont val="宋体"/>
        <family val="3"/>
        <charset val="134"/>
      </rPr>
      <t>4表</t>
    </r>
    <phoneticPr fontId="23" type="noConversion"/>
  </si>
  <si>
    <t>五、深圳市自有社会保险基础资料表..........................................</t>
    <phoneticPr fontId="23" type="noConversion"/>
  </si>
  <si>
    <t>社自决附01表</t>
    <phoneticPr fontId="23" type="noConversion"/>
  </si>
  <si>
    <t>二○一五年深圳市自有社会保险基金资产负债表</t>
    <phoneticPr fontId="23" type="noConversion"/>
  </si>
  <si>
    <r>
      <t xml:space="preserve">   社自决0</t>
    </r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</si>
  <si>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t>机关事业单位基本
养老保险基金</t>
    <phoneticPr fontId="23" type="noConversion"/>
  </si>
  <si>
    <t>地方补充养
老保险基金</t>
    <phoneticPr fontId="23" type="noConversion"/>
  </si>
  <si>
    <t>地方补充医
疗保险基金</t>
    <phoneticPr fontId="23" type="noConversion"/>
  </si>
  <si>
    <r>
      <t xml:space="preserve">      </t>
    </r>
    <r>
      <rPr>
        <sz val="12"/>
        <rFont val="宋体"/>
        <family val="3"/>
        <charset val="134"/>
      </rPr>
      <t>其中：委托运营基金</t>
    </r>
    <phoneticPr fontId="23" type="noConversion"/>
  </si>
  <si>
    <r>
      <t xml:space="preserve">   社决</t>
    </r>
    <r>
      <rPr>
        <sz val="12"/>
        <color indexed="8"/>
        <rFont val="宋体"/>
        <family val="3"/>
        <charset val="134"/>
      </rPr>
      <t>02表</t>
    </r>
    <phoneticPr fontId="23" type="noConversion"/>
  </si>
  <si>
    <r>
      <t>二○一</t>
    </r>
    <r>
      <rPr>
        <sz val="29"/>
        <color indexed="8"/>
        <rFont val="宋体"/>
        <family val="3"/>
        <charset val="134"/>
      </rPr>
      <t>五年地方补充养老保险基金收支表</t>
    </r>
    <phoneticPr fontId="23" type="noConversion"/>
  </si>
  <si>
    <r>
      <t xml:space="preserve">   社自决0</t>
    </r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表</t>
    </r>
    <phoneticPr fontId="23" type="noConversion"/>
  </si>
  <si>
    <t>二○一五年地方补充医疗保险基金收支表</t>
    <phoneticPr fontId="23" type="noConversion"/>
  </si>
  <si>
    <r>
      <t xml:space="preserve">   社自决0</t>
    </r>
    <r>
      <rPr>
        <sz val="12"/>
        <color indexed="8"/>
        <rFont val="宋体"/>
        <family val="3"/>
        <charset val="134"/>
      </rPr>
      <t>4表</t>
    </r>
    <phoneticPr fontId="23" type="noConversion"/>
  </si>
  <si>
    <t>项        目</t>
    <phoneticPr fontId="23" type="noConversion"/>
  </si>
  <si>
    <t>项        目</t>
  </si>
  <si>
    <t>一、地方补充医疗保险费收入</t>
    <phoneticPr fontId="23" type="noConversion"/>
  </si>
  <si>
    <t>一、地方补充医疗保险待遇支出</t>
    <phoneticPr fontId="23" type="noConversion"/>
  </si>
  <si>
    <t>二、利息收入</t>
    <phoneticPr fontId="23" type="noConversion"/>
  </si>
  <si>
    <t xml:space="preserve">    其中：1.住院支出</t>
    <phoneticPr fontId="23" type="noConversion"/>
  </si>
  <si>
    <t>三、财政补贴收入</t>
    <phoneticPr fontId="23" type="noConversion"/>
  </si>
  <si>
    <t xml:space="preserve">          2.门诊支出</t>
    <phoneticPr fontId="23" type="noConversion"/>
  </si>
  <si>
    <t>四、其他收入</t>
    <phoneticPr fontId="23" type="noConversion"/>
  </si>
  <si>
    <t>五、转移收入</t>
    <phoneticPr fontId="23" type="noConversion"/>
  </si>
  <si>
    <t>总        计</t>
    <phoneticPr fontId="23" type="noConversion"/>
  </si>
  <si>
    <t>总        计</t>
  </si>
  <si>
    <t>二○一五年深圳市自有社会保险基础资料表</t>
    <phoneticPr fontId="23" type="noConversion"/>
  </si>
  <si>
    <t>数      量</t>
  </si>
  <si>
    <t>一、机关事业单位基本养老保险</t>
    <phoneticPr fontId="23" type="noConversion"/>
  </si>
  <si>
    <t>三、地方补充医疗保险</t>
    <phoneticPr fontId="23" type="noConversion"/>
  </si>
  <si>
    <t xml:space="preserve">  (一)参保人员年末数</t>
  </si>
  <si>
    <t xml:space="preserve">  (二)实际缴费人员年末数</t>
  </si>
  <si>
    <t xml:space="preserve">  (三)缴费基数总额</t>
  </si>
  <si>
    <t>二、地方补充养老保险</t>
    <phoneticPr fontId="23" type="noConversion"/>
  </si>
  <si>
    <t>单位:万元</t>
  </si>
  <si>
    <t>预算科目</t>
  </si>
  <si>
    <t>利润收入</t>
  </si>
  <si>
    <t>股利、股息收入</t>
  </si>
  <si>
    <t>产权转让收入</t>
  </si>
  <si>
    <t>清算收入</t>
  </si>
  <si>
    <t>其他国有资本经营预算收入</t>
  </si>
  <si>
    <t>本 年 收 入 合 计</t>
  </si>
  <si>
    <t>本 年 支 出 合 计</t>
  </si>
  <si>
    <t>上级补助收入</t>
  </si>
  <si>
    <t>省补助计划单列市收入</t>
  </si>
  <si>
    <t>调出资金</t>
  </si>
  <si>
    <t>上年结余</t>
  </si>
  <si>
    <t>年终结余</t>
  </si>
  <si>
    <t>收  入  总  计</t>
  </si>
  <si>
    <t>支  出  总  计</t>
  </si>
  <si>
    <t>非税收入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</si>
  <si>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</si>
  <si>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</si>
  <si>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</si>
  <si>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</si>
  <si>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石油石化企业利润收入</t>
  </si>
  <si>
    <t xml:space="preserve">    公益性设施投资补助支出</t>
  </si>
  <si>
    <t xml:space="preserve">      电力企业利润收入</t>
  </si>
  <si>
    <t xml:space="preserve">    战略性产业发展支出</t>
  </si>
  <si>
    <t xml:space="preserve">      电信企业利润收入</t>
  </si>
  <si>
    <t xml:space="preserve">    生态环境保护支出</t>
  </si>
  <si>
    <t xml:space="preserve">      煤炭企业利润收入</t>
  </si>
  <si>
    <t xml:space="preserve">    支持科技进步支出</t>
  </si>
  <si>
    <t xml:space="preserve">      有色冶金采掘企业利润收入</t>
  </si>
  <si>
    <t xml:space="preserve">    保障国家经济安全支出</t>
  </si>
  <si>
    <t xml:space="preserve">      钢铁企业利润收入</t>
  </si>
  <si>
    <t xml:space="preserve">    对外投资合作支出</t>
  </si>
  <si>
    <t xml:space="preserve">      化工企业利润收入</t>
  </si>
  <si>
    <t xml:space="preserve">    改革成本支出</t>
  </si>
  <si>
    <t xml:space="preserve">      运输企业利润收入</t>
  </si>
  <si>
    <t xml:space="preserve">    其他国有资本经营预算支出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</si>
  <si>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</si>
  <si>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</si>
  <si>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</si>
  <si>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</si>
  <si>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</si>
  <si>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</si>
  <si>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</si>
  <si>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</si>
  <si>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</si>
  <si>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</si>
  <si>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</si>
  <si>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</si>
  <si>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</si>
  <si>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</si>
  <si>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</si>
  <si>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</si>
  <si>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</si>
  <si>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</si>
  <si>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</si>
  <si>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</si>
  <si>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</si>
  <si>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</si>
  <si>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</si>
  <si>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</si>
  <si>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</si>
  <si>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国有资本经营预算补充基金支出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</si>
  <si>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</si>
  <si>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</si>
  <si>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</si>
  <si>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</si>
  <si>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</si>
  <si>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</si>
  <si>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</si>
  <si>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</si>
  <si>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</si>
  <si>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</si>
  <si>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</si>
  <si>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  资本性支出</t>
  </si>
  <si>
    <t xml:space="preserve">    改革性支出</t>
  </si>
  <si>
    <t>上年结余</t>
    <phoneticPr fontId="23" type="noConversion"/>
  </si>
  <si>
    <t>收入总计</t>
    <phoneticPr fontId="23" type="noConversion"/>
  </si>
  <si>
    <t xml:space="preserve">     循环经济</t>
    <phoneticPr fontId="23" type="noConversion"/>
  </si>
  <si>
    <t xml:space="preserve">  循环经济</t>
    <phoneticPr fontId="23" type="noConversion"/>
  </si>
  <si>
    <t>工资福利支出</t>
    <phoneticPr fontId="59" type="noConversion"/>
  </si>
  <si>
    <t>对个人和家庭的补助</t>
    <phoneticPr fontId="59" type="noConversion"/>
  </si>
  <si>
    <t>二十一、其他政府性基金收入</t>
    <phoneticPr fontId="23" type="noConversion"/>
  </si>
  <si>
    <t>二十、彩票发行机构和彩票销售机构
     的业务费用</t>
    <phoneticPr fontId="23" type="noConversion"/>
  </si>
  <si>
    <t xml:space="preserve">         福利彩票销售机构的业务费用</t>
    <phoneticPr fontId="23" type="noConversion"/>
  </si>
  <si>
    <t xml:space="preserve">         资助国产影片放映</t>
    <phoneticPr fontId="23" type="noConversion"/>
  </si>
  <si>
    <t xml:space="preserve">         资助城市影院</t>
    <phoneticPr fontId="23" type="noConversion"/>
  </si>
  <si>
    <t>九、其他支出</t>
    <phoneticPr fontId="23" type="noConversion"/>
  </si>
  <si>
    <t xml:space="preserve">        污水处理设施建设和运营</t>
    <phoneticPr fontId="23" type="noConversion"/>
  </si>
  <si>
    <t xml:space="preserve">        水利工程建设</t>
    <phoneticPr fontId="23" type="noConversion"/>
  </si>
  <si>
    <t xml:space="preserve">        水利工程维护</t>
    <phoneticPr fontId="23" type="noConversion"/>
  </si>
  <si>
    <t xml:space="preserve">        民航节能减排</t>
    <phoneticPr fontId="23" type="noConversion"/>
  </si>
  <si>
    <t xml:space="preserve">        用于教育事业的彩票公益金
        支出</t>
    <phoneticPr fontId="23" type="noConversion"/>
  </si>
  <si>
    <t>第三部分：国有资本经营决算表</t>
    <phoneticPr fontId="23" type="noConversion"/>
  </si>
  <si>
    <t>第四部分：社会保险基金决算表</t>
    <phoneticPr fontId="23" type="noConversion"/>
  </si>
  <si>
    <t>第一部分：一般公共预算的决算表</t>
    <phoneticPr fontId="23" type="noConversion"/>
  </si>
  <si>
    <t>第二部分：政府性基金决算表</t>
    <phoneticPr fontId="23" type="noConversion"/>
  </si>
  <si>
    <t>2015年度深圳市本级国有资本经营收支决算明细表（草案）</t>
    <phoneticPr fontId="23" type="noConversion"/>
  </si>
  <si>
    <t>2015年度深圳市本级国有资本经营收支决算总表（草案）</t>
    <phoneticPr fontId="23" type="noConversion"/>
  </si>
  <si>
    <t>2015年市本级对各区税收返还和转移支付决算表（草案）</t>
    <phoneticPr fontId="23" type="noConversion"/>
  </si>
  <si>
    <t>2015年市本级对各区税收返还和转移支付分区决算表（草案）</t>
    <phoneticPr fontId="23" type="noConversion"/>
  </si>
  <si>
    <t>2015年市本级对各区税收返还分区决算表（草案）</t>
    <phoneticPr fontId="23" type="noConversion"/>
  </si>
  <si>
    <t>2015年市本级对各区一般性转移支付分区决算表（草案）</t>
    <phoneticPr fontId="23" type="noConversion"/>
  </si>
  <si>
    <t>单位：万元</t>
    <phoneticPr fontId="59" type="noConversion"/>
  </si>
  <si>
    <t>2015年市本级对各区专项转移支付分区决算表（草案）</t>
    <phoneticPr fontId="23" type="noConversion"/>
  </si>
  <si>
    <t>2015年市本级政府性基金对区转移支付情况表（草案）</t>
    <phoneticPr fontId="23" type="noConversion"/>
  </si>
  <si>
    <t>2015年市本级国土基金对区转移支付情况表（草案）</t>
    <phoneticPr fontId="23" type="noConversion"/>
  </si>
  <si>
    <t>决算数</t>
    <phoneticPr fontId="59" type="noConversion"/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</si>
  <si>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</si>
  <si>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</si>
  <si>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</si>
  <si>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</si>
  <si>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</si>
  <si>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</si>
  <si>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</si>
  <si>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</si>
  <si>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</si>
  <si>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</si>
  <si>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</si>
  <si>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</si>
  <si>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</si>
  <si>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</si>
  <si>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</si>
  <si>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</si>
  <si>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</si>
  <si>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</si>
  <si>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</si>
  <si>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</si>
  <si>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</si>
  <si>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</si>
  <si>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</si>
  <si>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</si>
  <si>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二、教育</t>
    <phoneticPr fontId="23" type="noConversion"/>
  </si>
  <si>
    <t>2015年度深圳市本级一般公共预算支出经济分类决算表（草案）</t>
    <phoneticPr fontId="59" type="noConversion"/>
  </si>
  <si>
    <t>深圳市2015年政府债务余额情况表（草案）</t>
    <phoneticPr fontId="98" type="noConversion"/>
  </si>
  <si>
    <t>单位：亿元</t>
    <phoneticPr fontId="98" type="noConversion"/>
  </si>
  <si>
    <t>序号</t>
    <phoneticPr fontId="98" type="noConversion"/>
  </si>
  <si>
    <t>地区</t>
    <phoneticPr fontId="98" type="noConversion"/>
  </si>
  <si>
    <t>债务余额情况</t>
    <phoneticPr fontId="98" type="noConversion"/>
  </si>
  <si>
    <t>2015年末实际余额</t>
    <phoneticPr fontId="98" type="noConversion"/>
  </si>
  <si>
    <t>合计</t>
    <phoneticPr fontId="98" type="noConversion"/>
  </si>
  <si>
    <t>政府负有偿还责任的债务</t>
    <phoneticPr fontId="98" type="noConversion"/>
  </si>
  <si>
    <t>政府负有担保责任的债务</t>
    <phoneticPr fontId="98" type="noConversion"/>
  </si>
  <si>
    <t>政府可能承担一定救助责任的债务</t>
    <phoneticPr fontId="98" type="noConversion"/>
  </si>
  <si>
    <t>一</t>
    <phoneticPr fontId="98" type="noConversion"/>
  </si>
  <si>
    <t>全省（区、市）
合计</t>
    <phoneticPr fontId="98" type="noConversion"/>
  </si>
  <si>
    <t>（一）</t>
    <phoneticPr fontId="98" type="noConversion"/>
  </si>
  <si>
    <t>市本级小计</t>
    <phoneticPr fontId="98" type="noConversion"/>
  </si>
  <si>
    <t>（二）</t>
    <phoneticPr fontId="98" type="noConversion"/>
  </si>
  <si>
    <t>区级小计</t>
    <phoneticPr fontId="98" type="noConversion"/>
  </si>
  <si>
    <t>宝安区</t>
    <phoneticPr fontId="98" type="noConversion"/>
  </si>
  <si>
    <t>龙岗区</t>
    <phoneticPr fontId="98" type="noConversion"/>
  </si>
  <si>
    <t>光明新区</t>
    <phoneticPr fontId="98" type="noConversion"/>
  </si>
  <si>
    <t>大鹏新区</t>
    <phoneticPr fontId="98" type="noConversion"/>
  </si>
  <si>
    <t>龙华新区</t>
    <phoneticPr fontId="98" type="noConversion"/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</si>
</sst>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176" formatCode="#,##0_ "/>
    <numFmt numFmtId="177" formatCode="0.0%"/>
    <numFmt numFmtId="178" formatCode="#,##0_);[Red]\(#,##0\)"/>
    <numFmt numFmtId="179" formatCode="_ * #,##0_ ;_ * \-#,##0_ ;_ * &quot;-&quot;??_ ;_ @_ "/>
    <numFmt numFmtId="180" formatCode="#,##0.00_ ;\-#,##0.00;;"/>
    <numFmt numFmtId="181" formatCode="#,##0.00_ "/>
    <numFmt numFmtId="182" formatCode="#,##0.00_ ;\-#,##0.00"/>
    <numFmt numFmtId="183" formatCode="0.0_);[Red]\(0.0\)"/>
    <numFmt numFmtId="184" formatCode="#,##0_ ;\-#,##0;;"/>
    <numFmt numFmtId="185" formatCode="#,##0.00_);[Red]\(#,##0.00\)"/>
    <numFmt numFmtId="186" formatCode="#,##0_ ;\-#,##0"/>
    <numFmt numFmtId="187" formatCode="#,##0_ ;\-#,##0;"/>
    <numFmt numFmtId="188" formatCode="###,###,##0"/>
    <numFmt numFmtId="189" formatCode="#,##0.000"/>
    <numFmt numFmtId="190" formatCode="_ * #,##0.0000_ ;_ * \-#,##0.0000_ ;_ * &quot;-&quot;??_ ;_ @_ "/>
    <numFmt numFmtId="191" formatCode="0.0_ "/>
  </numFmts>
  <fonts count="103">
    <font>
      <sz val="12"/>
      <name val="宋体"/>
      <charset val="134"/>
    </font>
    <font>
      <sz val="12"/>
      <name val="Times New Roman"/>
      <family val="1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20"/>
      <name val="Tahoma"/>
      <family val="2"/>
      <charset val="134"/>
    </font>
    <font>
      <sz val="11"/>
      <color indexed="20"/>
      <name val="宋体"/>
      <family val="3"/>
      <charset val="134"/>
    </font>
    <font>
      <sz val="10"/>
      <name val="Arial"/>
      <family val="2"/>
    </font>
    <font>
      <sz val="11"/>
      <color indexed="17"/>
      <name val="Tahoma"/>
      <family val="2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9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sz val="11"/>
      <color indexed="60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2"/>
      <name val="Tahoma"/>
      <family val="2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9"/>
      <color indexed="8"/>
      <name val="宋体"/>
      <family val="3"/>
      <charset val="134"/>
    </font>
    <font>
      <b/>
      <sz val="29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5"/>
      <color indexed="8"/>
      <name val="宋体"/>
      <family val="3"/>
      <charset val="134"/>
    </font>
    <font>
      <sz val="13"/>
      <color indexed="8"/>
      <name val="宋体"/>
      <family val="3"/>
      <charset val="134"/>
    </font>
    <font>
      <sz val="29"/>
      <name val="宋体"/>
      <family val="3"/>
      <charset val="134"/>
    </font>
    <font>
      <sz val="12"/>
      <name val="Arial Narrow"/>
      <family val="2"/>
    </font>
    <font>
      <sz val="9"/>
      <name val="Arial Narrow"/>
      <family val="2"/>
    </font>
    <font>
      <b/>
      <sz val="12"/>
      <color indexed="8"/>
      <name val="宋体"/>
      <family val="3"/>
      <charset val="134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华文中宋"/>
      <family val="3"/>
      <charset val="134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24"/>
      <color indexed="8"/>
      <name val="宋体"/>
      <family val="3"/>
      <charset val="134"/>
    </font>
    <font>
      <sz val="12"/>
      <color indexed="8"/>
      <name val="Times New Roman"/>
      <family val="1"/>
    </font>
    <font>
      <sz val="27"/>
      <color indexed="8"/>
      <name val="宋体"/>
      <family val="3"/>
      <charset val="134"/>
    </font>
    <font>
      <sz val="28"/>
      <name val="宋体"/>
      <family val="3"/>
      <charset val="134"/>
    </font>
    <font>
      <sz val="10"/>
      <name val="宋体"/>
      <charset val="134"/>
    </font>
    <font>
      <b/>
      <sz val="20"/>
      <name val="宋体"/>
      <family val="3"/>
      <charset val="134"/>
      <scheme val="major"/>
    </font>
    <font>
      <b/>
      <sz val="2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1">
    <xf numFmtId="0" fontId="0" fillId="0" borderId="0">
      <alignment vertical="center"/>
    </xf>
    <xf numFmtId="0" fontId="1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0" borderId="0"/>
    <xf numFmtId="0" fontId="28" fillId="0" borderId="0"/>
    <xf numFmtId="0" fontId="29" fillId="0" borderId="0"/>
    <xf numFmtId="0" fontId="11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0" fontId="34" fillId="28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5" fillId="0" borderId="1" applyNumberFormat="0" applyFill="0" applyAlignment="0" applyProtection="0">
      <alignment vertical="center"/>
    </xf>
    <xf numFmtId="0" fontId="46" fillId="0" borderId="2" applyNumberFormat="0" applyFill="0" applyAlignment="0" applyProtection="0">
      <alignment vertical="center"/>
    </xf>
    <xf numFmtId="0" fontId="47" fillId="0" borderId="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8" fillId="0" borderId="0">
      <alignment vertical="center"/>
    </xf>
    <xf numFmtId="0" fontId="34" fillId="0" borderId="0">
      <alignment vertical="center"/>
    </xf>
    <xf numFmtId="0" fontId="48" fillId="0" borderId="0"/>
    <xf numFmtId="0" fontId="48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50" fillId="27" borderId="5" applyNumberFormat="0" applyAlignment="0" applyProtection="0">
      <alignment vertical="center"/>
    </xf>
    <xf numFmtId="0" fontId="51" fillId="40" borderId="6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7" borderId="8" applyNumberFormat="0" applyAlignment="0" applyProtection="0">
      <alignment vertical="center"/>
    </xf>
    <xf numFmtId="0" fontId="57" fillId="31" borderId="5" applyNumberFormat="0" applyAlignment="0" applyProtection="0">
      <alignment vertical="center"/>
    </xf>
    <xf numFmtId="0" fontId="4" fillId="45" borderId="9" applyNumberFormat="0" applyFont="0" applyAlignment="0" applyProtection="0">
      <alignment vertical="center"/>
    </xf>
    <xf numFmtId="0" fontId="39" fillId="0" borderId="0"/>
    <xf numFmtId="0" fontId="34" fillId="0" borderId="0">
      <alignment vertical="center"/>
    </xf>
    <xf numFmtId="0" fontId="24" fillId="0" borderId="0"/>
    <xf numFmtId="43" fontId="48" fillId="0" borderId="0" applyFont="0" applyFill="0" applyBorder="0" applyAlignment="0" applyProtection="0">
      <alignment vertical="center"/>
    </xf>
    <xf numFmtId="0" fontId="96" fillId="0" borderId="0">
      <alignment vertical="center"/>
    </xf>
  </cellStyleXfs>
  <cellXfs count="734">
    <xf numFmtId="0" fontId="0" fillId="0" borderId="0" xfId="0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79" fontId="25" fillId="0" borderId="0" xfId="64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9" fontId="26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24" fillId="0" borderId="10" xfId="0" applyNumberFormat="1" applyFont="1" applyFill="1" applyBorder="1" applyAlignment="1">
      <alignment horizontal="center" vertical="center"/>
    </xf>
    <xf numFmtId="179" fontId="24" fillId="0" borderId="10" xfId="64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179" fontId="26" fillId="0" borderId="0" xfId="64" applyNumberFormat="1" applyFont="1" applyFill="1" applyAlignment="1">
      <alignment vertical="center"/>
    </xf>
    <xf numFmtId="179" fontId="0" fillId="0" borderId="0" xfId="64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3" fontId="33" fillId="0" borderId="11" xfId="77" applyNumberFormat="1" applyFont="1" applyFill="1" applyBorder="1" applyAlignment="1">
      <alignment vertical="center" wrapText="1"/>
    </xf>
    <xf numFmtId="3" fontId="29" fillId="0" borderId="11" xfId="77" applyNumberFormat="1" applyFont="1" applyFill="1" applyBorder="1" applyAlignment="1">
      <alignment vertical="center" wrapText="1"/>
    </xf>
    <xf numFmtId="0" fontId="33" fillId="0" borderId="11" xfId="112" applyFont="1" applyFill="1" applyBorder="1" applyAlignment="1">
      <alignment horizontal="center" vertical="center"/>
    </xf>
    <xf numFmtId="0" fontId="29" fillId="0" borderId="11" xfId="112" applyFont="1" applyFill="1" applyBorder="1" applyAlignment="1">
      <alignment horizontal="left" vertical="center"/>
    </xf>
    <xf numFmtId="0" fontId="39" fillId="0" borderId="11" xfId="0" applyFont="1" applyBorder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1" xfId="11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9" fontId="0" fillId="0" borderId="11" xfId="64" applyNumberFormat="1" applyFont="1" applyBorder="1">
      <alignment vertical="center"/>
    </xf>
    <xf numFmtId="179" fontId="41" fillId="0" borderId="11" xfId="0" applyNumberFormat="1" applyFont="1" applyBorder="1">
      <alignment vertical="center"/>
    </xf>
    <xf numFmtId="0" fontId="41" fillId="0" borderId="0" xfId="0" applyFont="1">
      <alignment vertical="center"/>
    </xf>
    <xf numFmtId="177" fontId="0" fillId="0" borderId="11" xfId="21" applyNumberFormat="1" applyFont="1" applyBorder="1">
      <alignment vertical="center"/>
    </xf>
    <xf numFmtId="179" fontId="41" fillId="0" borderId="11" xfId="64" applyNumberFormat="1" applyFont="1" applyBorder="1">
      <alignment vertical="center"/>
    </xf>
    <xf numFmtId="177" fontId="41" fillId="0" borderId="11" xfId="21" applyNumberFormat="1" applyFont="1" applyBorder="1">
      <alignment vertical="center"/>
    </xf>
    <xf numFmtId="179" fontId="0" fillId="0" borderId="0" xfId="0" applyNumberFormat="1">
      <alignment vertical="center"/>
    </xf>
    <xf numFmtId="0" fontId="42" fillId="0" borderId="0" xfId="0" applyFont="1" applyFill="1" applyAlignment="1">
      <alignment vertical="center"/>
    </xf>
    <xf numFmtId="0" fontId="39" fillId="0" borderId="0" xfId="136" applyFont="1"/>
    <xf numFmtId="0" fontId="39" fillId="0" borderId="0" xfId="136"/>
    <xf numFmtId="0" fontId="38" fillId="0" borderId="11" xfId="136" applyNumberFormat="1" applyFont="1" applyFill="1" applyBorder="1" applyAlignment="1" applyProtection="1">
      <alignment horizontal="left" vertical="center"/>
    </xf>
    <xf numFmtId="0" fontId="38" fillId="0" borderId="12" xfId="136" applyNumberFormat="1" applyFont="1" applyFill="1" applyBorder="1" applyAlignment="1" applyProtection="1">
      <alignment horizontal="left" vertical="center"/>
    </xf>
    <xf numFmtId="3" fontId="38" fillId="0" borderId="11" xfId="136" applyNumberFormat="1" applyFont="1" applyFill="1" applyBorder="1" applyAlignment="1" applyProtection="1">
      <alignment horizontal="right" vertical="center"/>
    </xf>
    <xf numFmtId="3" fontId="40" fillId="0" borderId="15" xfId="136" applyNumberFormat="1" applyFont="1" applyFill="1" applyBorder="1" applyAlignment="1" applyProtection="1">
      <alignment horizontal="right" vertical="center"/>
    </xf>
    <xf numFmtId="0" fontId="41" fillId="0" borderId="0" xfId="136" applyFont="1"/>
    <xf numFmtId="0" fontId="39" fillId="0" borderId="0" xfId="0" applyFont="1" applyFill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9" fontId="0" fillId="0" borderId="11" xfId="64" applyNumberFormat="1" applyFont="1" applyFill="1" applyBorder="1">
      <alignment vertical="center"/>
    </xf>
    <xf numFmtId="176" fontId="39" fillId="0" borderId="11" xfId="39" applyNumberFormat="1" applyFont="1" applyFill="1" applyBorder="1" applyAlignment="1">
      <alignment horizontal="right" vertical="center" wrapText="1"/>
    </xf>
    <xf numFmtId="177" fontId="0" fillId="0" borderId="11" xfId="21" applyNumberFormat="1" applyFont="1" applyFill="1" applyBorder="1">
      <alignment vertical="center"/>
    </xf>
    <xf numFmtId="176" fontId="39" fillId="0" borderId="14" xfId="39" applyNumberFormat="1" applyFont="1" applyFill="1" applyBorder="1" applyAlignment="1">
      <alignment horizontal="right" vertical="center" wrapText="1"/>
    </xf>
    <xf numFmtId="176" fontId="39" fillId="0" borderId="19" xfId="39" applyNumberFormat="1" applyFont="1" applyFill="1" applyBorder="1" applyAlignment="1">
      <alignment horizontal="right" vertical="center" wrapText="1"/>
    </xf>
    <xf numFmtId="179" fontId="41" fillId="0" borderId="11" xfId="0" applyNumberFormat="1" applyFont="1" applyFill="1" applyBorder="1">
      <alignment vertical="center"/>
    </xf>
    <xf numFmtId="177" fontId="41" fillId="0" borderId="11" xfId="21" applyNumberFormat="1" applyFont="1" applyFill="1" applyBorder="1">
      <alignment vertical="center"/>
    </xf>
    <xf numFmtId="0" fontId="41" fillId="0" borderId="0" xfId="0" applyFont="1" applyFill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1" xfId="0" applyFont="1" applyFill="1" applyBorder="1">
      <alignment vertical="center"/>
    </xf>
    <xf numFmtId="179" fontId="41" fillId="0" borderId="11" xfId="64" applyNumberFormat="1" applyFont="1" applyFill="1" applyBorder="1">
      <alignment vertical="center"/>
    </xf>
    <xf numFmtId="0" fontId="38" fillId="0" borderId="0" xfId="112" applyFont="1" applyFill="1" applyBorder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>
      <alignment vertical="center"/>
    </xf>
    <xf numFmtId="0" fontId="64" fillId="0" borderId="10" xfId="0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/>
    </xf>
    <xf numFmtId="177" fontId="65" fillId="0" borderId="10" xfId="0" applyNumberFormat="1" applyFont="1" applyFill="1" applyBorder="1" applyAlignment="1">
      <alignment horizontal="center" vertical="center"/>
    </xf>
    <xf numFmtId="176" fontId="65" fillId="0" borderId="0" xfId="0" applyNumberFormat="1" applyFont="1" applyFill="1">
      <alignment vertical="center"/>
    </xf>
    <xf numFmtId="176" fontId="65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/>
    </xf>
    <xf numFmtId="1" fontId="66" fillId="0" borderId="11" xfId="1" applyNumberFormat="1" applyFont="1" applyFill="1" applyBorder="1" applyAlignment="1">
      <alignment horizontal="center" vertical="center" wrapText="1"/>
    </xf>
    <xf numFmtId="0" fontId="66" fillId="0" borderId="11" xfId="1" applyFont="1" applyFill="1" applyBorder="1" applyAlignment="1">
      <alignment horizontal="center" vertical="center" wrapText="1"/>
    </xf>
    <xf numFmtId="0" fontId="66" fillId="0" borderId="11" xfId="1" applyNumberFormat="1" applyFont="1" applyFill="1" applyBorder="1" applyAlignment="1">
      <alignment horizontal="center" vertical="center" wrapText="1"/>
    </xf>
    <xf numFmtId="177" fontId="65" fillId="0" borderId="0" xfId="0" applyNumberFormat="1" applyFont="1" applyFill="1">
      <alignment vertical="center"/>
    </xf>
    <xf numFmtId="0" fontId="66" fillId="0" borderId="11" xfId="44" applyNumberFormat="1" applyFont="1" applyFill="1" applyBorder="1" applyAlignment="1" applyProtection="1">
      <alignment vertical="center"/>
    </xf>
    <xf numFmtId="3" fontId="66" fillId="0" borderId="11" xfId="0" applyNumberFormat="1" applyFont="1" applyFill="1" applyBorder="1" applyAlignment="1" applyProtection="1">
      <alignment horizontal="right" vertical="center"/>
    </xf>
    <xf numFmtId="177" fontId="66" fillId="0" borderId="11" xfId="0" applyNumberFormat="1" applyFont="1" applyFill="1" applyBorder="1" applyAlignment="1">
      <alignment vertical="center" wrapText="1"/>
    </xf>
    <xf numFmtId="176" fontId="66" fillId="0" borderId="11" xfId="44" applyNumberFormat="1" applyFont="1" applyFill="1" applyBorder="1" applyAlignment="1" applyProtection="1">
      <alignment vertical="center" wrapText="1"/>
    </xf>
    <xf numFmtId="0" fontId="66" fillId="0" borderId="11" xfId="0" applyNumberFormat="1" applyFont="1" applyFill="1" applyBorder="1" applyAlignment="1" applyProtection="1">
      <alignment horizontal="left" vertical="center"/>
    </xf>
    <xf numFmtId="3" fontId="66" fillId="0" borderId="11" xfId="44" applyNumberFormat="1" applyFont="1" applyFill="1" applyBorder="1" applyAlignment="1" applyProtection="1">
      <alignment vertical="center" wrapText="1"/>
    </xf>
    <xf numFmtId="177" fontId="66" fillId="0" borderId="11" xfId="0" applyNumberFormat="1" applyFont="1" applyFill="1" applyBorder="1">
      <alignment vertical="center"/>
    </xf>
    <xf numFmtId="176" fontId="66" fillId="0" borderId="11" xfId="0" applyNumberFormat="1" applyFont="1" applyFill="1" applyBorder="1" applyAlignment="1" applyProtection="1">
      <alignment vertical="center" wrapText="1"/>
    </xf>
    <xf numFmtId="177" fontId="66" fillId="0" borderId="0" xfId="0" applyNumberFormat="1" applyFont="1" applyFill="1">
      <alignment vertical="center"/>
    </xf>
    <xf numFmtId="0" fontId="67" fillId="0" borderId="0" xfId="0" applyFont="1" applyFill="1">
      <alignment vertical="center"/>
    </xf>
    <xf numFmtId="0" fontId="65" fillId="0" borderId="11" xfId="44" applyNumberFormat="1" applyFont="1" applyFill="1" applyBorder="1" applyAlignment="1" applyProtection="1">
      <alignment vertical="center"/>
    </xf>
    <xf numFmtId="3" fontId="65" fillId="0" borderId="11" xfId="0" applyNumberFormat="1" applyFont="1" applyFill="1" applyBorder="1" applyAlignment="1" applyProtection="1">
      <alignment horizontal="right" vertical="center"/>
    </xf>
    <xf numFmtId="177" fontId="65" fillId="0" borderId="11" xfId="0" applyNumberFormat="1" applyFont="1" applyFill="1" applyBorder="1" applyAlignment="1">
      <alignment vertical="center" wrapText="1"/>
    </xf>
    <xf numFmtId="176" fontId="65" fillId="0" borderId="11" xfId="0" applyNumberFormat="1" applyFont="1" applyFill="1" applyBorder="1" applyAlignment="1" applyProtection="1">
      <alignment vertical="center" wrapText="1"/>
    </xf>
    <xf numFmtId="0" fontId="65" fillId="0" borderId="11" xfId="0" applyNumberFormat="1" applyFont="1" applyFill="1" applyBorder="1" applyAlignment="1" applyProtection="1">
      <alignment horizontal="left" vertical="center"/>
    </xf>
    <xf numFmtId="3" fontId="65" fillId="0" borderId="11" xfId="44" applyNumberFormat="1" applyFont="1" applyFill="1" applyBorder="1" applyAlignment="1" applyProtection="1">
      <alignment vertical="center" wrapText="1"/>
    </xf>
    <xf numFmtId="177" fontId="65" fillId="0" borderId="11" xfId="0" applyNumberFormat="1" applyFont="1" applyFill="1" applyBorder="1">
      <alignment vertical="center"/>
    </xf>
    <xf numFmtId="176" fontId="65" fillId="0" borderId="11" xfId="0" applyNumberFormat="1" applyFont="1" applyFill="1" applyBorder="1" applyAlignment="1">
      <alignment vertical="center" wrapText="1"/>
    </xf>
    <xf numFmtId="176" fontId="65" fillId="0" borderId="11" xfId="44" applyNumberFormat="1" applyFont="1" applyFill="1" applyBorder="1" applyAlignment="1" applyProtection="1">
      <alignment vertical="center" wrapText="1"/>
    </xf>
    <xf numFmtId="0" fontId="66" fillId="0" borderId="14" xfId="0" applyNumberFormat="1" applyFont="1" applyFill="1" applyBorder="1" applyAlignment="1" applyProtection="1">
      <alignment horizontal="center" vertical="center"/>
    </xf>
    <xf numFmtId="0" fontId="66" fillId="0" borderId="14" xfId="0" applyNumberFormat="1" applyFont="1" applyFill="1" applyBorder="1" applyAlignment="1" applyProtection="1">
      <alignment vertical="center"/>
    </xf>
    <xf numFmtId="0" fontId="65" fillId="0" borderId="14" xfId="0" applyNumberFormat="1" applyFont="1" applyFill="1" applyBorder="1" applyAlignment="1" applyProtection="1">
      <alignment vertical="center"/>
    </xf>
    <xf numFmtId="3" fontId="65" fillId="0" borderId="14" xfId="0" applyNumberFormat="1" applyFont="1" applyFill="1" applyBorder="1" applyAlignment="1" applyProtection="1">
      <alignment horizontal="right" vertical="center"/>
    </xf>
    <xf numFmtId="3" fontId="66" fillId="0" borderId="17" xfId="0" applyNumberFormat="1" applyFont="1" applyFill="1" applyBorder="1" applyAlignment="1" applyProtection="1">
      <alignment horizontal="right" vertical="center"/>
    </xf>
    <xf numFmtId="3" fontId="65" fillId="0" borderId="15" xfId="0" applyNumberFormat="1" applyFont="1" applyFill="1" applyBorder="1" applyAlignment="1" applyProtection="1">
      <alignment horizontal="right" vertical="center"/>
    </xf>
    <xf numFmtId="3" fontId="65" fillId="0" borderId="13" xfId="0" applyNumberFormat="1" applyFont="1" applyFill="1" applyBorder="1" applyAlignment="1" applyProtection="1">
      <alignment horizontal="right" vertical="center"/>
    </xf>
    <xf numFmtId="0" fontId="65" fillId="0" borderId="11" xfId="44" applyNumberFormat="1" applyFont="1" applyFill="1" applyBorder="1" applyAlignment="1" applyProtection="1">
      <alignment vertical="center" wrapText="1"/>
    </xf>
    <xf numFmtId="0" fontId="65" fillId="0" borderId="11" xfId="0" applyFont="1" applyFill="1" applyBorder="1">
      <alignment vertical="center"/>
    </xf>
    <xf numFmtId="176" fontId="65" fillId="0" borderId="11" xfId="0" applyNumberFormat="1" applyFont="1" applyFill="1" applyBorder="1">
      <alignment vertical="center"/>
    </xf>
    <xf numFmtId="176" fontId="65" fillId="0" borderId="11" xfId="44" applyNumberFormat="1" applyFont="1" applyFill="1" applyBorder="1" applyAlignment="1" applyProtection="1">
      <alignment horizontal="right" vertical="center"/>
    </xf>
    <xf numFmtId="177" fontId="65" fillId="0" borderId="11" xfId="21" applyNumberFormat="1" applyFont="1" applyFill="1" applyBorder="1">
      <alignment vertical="center"/>
    </xf>
    <xf numFmtId="1" fontId="65" fillId="0" borderId="11" xfId="43" applyNumberFormat="1" applyFont="1" applyFill="1" applyBorder="1">
      <alignment vertical="center"/>
    </xf>
    <xf numFmtId="3" fontId="65" fillId="0" borderId="11" xfId="64" applyNumberFormat="1" applyFont="1" applyFill="1" applyBorder="1" applyAlignment="1" applyProtection="1">
      <alignment vertical="center" wrapText="1"/>
    </xf>
    <xf numFmtId="176" fontId="66" fillId="0" borderId="11" xfId="0" applyNumberFormat="1" applyFont="1" applyFill="1" applyBorder="1">
      <alignment vertical="center"/>
    </xf>
    <xf numFmtId="3" fontId="66" fillId="0" borderId="11" xfId="64" applyNumberFormat="1" applyFont="1" applyFill="1" applyBorder="1" applyAlignment="1">
      <alignment vertical="center" wrapText="1"/>
    </xf>
    <xf numFmtId="0" fontId="66" fillId="0" borderId="11" xfId="0" applyFont="1" applyFill="1" applyBorder="1">
      <alignment vertical="center"/>
    </xf>
    <xf numFmtId="0" fontId="66" fillId="0" borderId="0" xfId="0" applyFont="1" applyFill="1">
      <alignment vertical="center"/>
    </xf>
    <xf numFmtId="3" fontId="65" fillId="0" borderId="11" xfId="0" applyNumberFormat="1" applyFont="1" applyFill="1" applyBorder="1" applyAlignment="1" applyProtection="1">
      <alignment vertical="center"/>
    </xf>
    <xf numFmtId="0" fontId="66" fillId="0" borderId="11" xfId="0" applyNumberFormat="1" applyFont="1" applyFill="1" applyBorder="1" applyAlignment="1" applyProtection="1">
      <alignment vertical="center"/>
    </xf>
    <xf numFmtId="0" fontId="65" fillId="0" borderId="11" xfId="0" applyNumberFormat="1" applyFont="1" applyFill="1" applyBorder="1" applyAlignment="1" applyProtection="1">
      <alignment vertical="center"/>
    </xf>
    <xf numFmtId="0" fontId="65" fillId="0" borderId="18" xfId="0" applyNumberFormat="1" applyFont="1" applyFill="1" applyBorder="1" applyAlignment="1" applyProtection="1">
      <alignment vertical="center"/>
    </xf>
    <xf numFmtId="0" fontId="66" fillId="0" borderId="18" xfId="0" applyNumberFormat="1" applyFont="1" applyFill="1" applyBorder="1" applyAlignment="1" applyProtection="1">
      <alignment vertical="center"/>
    </xf>
    <xf numFmtId="0" fontId="65" fillId="0" borderId="16" xfId="0" applyNumberFormat="1" applyFont="1" applyFill="1" applyBorder="1" applyAlignment="1" applyProtection="1">
      <alignment vertical="center"/>
    </xf>
    <xf numFmtId="0" fontId="65" fillId="0" borderId="14" xfId="0" applyNumberFormat="1" applyFont="1" applyFill="1" applyBorder="1" applyAlignment="1" applyProtection="1">
      <alignment horizontal="left" vertical="center"/>
    </xf>
    <xf numFmtId="177" fontId="65" fillId="0" borderId="0" xfId="21" applyNumberFormat="1" applyFont="1" applyFill="1">
      <alignment vertical="center"/>
    </xf>
    <xf numFmtId="1" fontId="66" fillId="0" borderId="11" xfId="43" applyNumberFormat="1" applyFont="1" applyFill="1" applyBorder="1">
      <alignment vertical="center"/>
    </xf>
    <xf numFmtId="3" fontId="65" fillId="0" borderId="11" xfId="0" applyNumberFormat="1" applyFont="1" applyFill="1" applyBorder="1" applyAlignment="1" applyProtection="1">
      <alignment horizontal="left" vertical="center"/>
    </xf>
    <xf numFmtId="176" fontId="66" fillId="0" borderId="11" xfId="0" applyNumberFormat="1" applyFont="1" applyFill="1" applyBorder="1" applyAlignment="1">
      <alignment vertical="center" wrapText="1"/>
    </xf>
    <xf numFmtId="177" fontId="66" fillId="0" borderId="11" xfId="21" applyNumberFormat="1" applyFont="1" applyFill="1" applyBorder="1">
      <alignment vertical="center"/>
    </xf>
    <xf numFmtId="0" fontId="66" fillId="0" borderId="11" xfId="43" quotePrefix="1" applyFont="1" applyFill="1" applyBorder="1" applyAlignment="1">
      <alignment horizontal="center" vertical="center"/>
    </xf>
    <xf numFmtId="177" fontId="65" fillId="0" borderId="11" xfId="21" applyNumberFormat="1" applyFont="1" applyFill="1" applyBorder="1" applyAlignment="1">
      <alignment vertical="center" wrapText="1"/>
    </xf>
    <xf numFmtId="0" fontId="66" fillId="0" borderId="11" xfId="44" applyNumberFormat="1" applyFont="1" applyFill="1" applyBorder="1" applyAlignment="1" applyProtection="1">
      <alignment horizontal="center" vertical="center"/>
    </xf>
    <xf numFmtId="3" fontId="66" fillId="0" borderId="11" xfId="0" applyNumberFormat="1" applyFont="1" applyFill="1" applyBorder="1" applyAlignment="1">
      <alignment vertical="center" wrapText="1"/>
    </xf>
    <xf numFmtId="176" fontId="66" fillId="0" borderId="11" xfId="0" applyNumberFormat="1" applyFont="1" applyFill="1" applyBorder="1" applyAlignment="1">
      <alignment vertical="center"/>
    </xf>
    <xf numFmtId="179" fontId="65" fillId="0" borderId="11" xfId="64" applyNumberFormat="1" applyFont="1" applyFill="1" applyBorder="1" applyAlignment="1">
      <alignment vertical="center"/>
    </xf>
    <xf numFmtId="0" fontId="66" fillId="0" borderId="11" xfId="43" applyFont="1" applyFill="1" applyBorder="1">
      <alignment vertical="center"/>
    </xf>
    <xf numFmtId="0" fontId="65" fillId="0" borderId="11" xfId="43" applyFont="1" applyFill="1" applyBorder="1" applyAlignment="1">
      <alignment horizontal="left" vertical="center"/>
    </xf>
    <xf numFmtId="3" fontId="65" fillId="0" borderId="11" xfId="39" applyNumberFormat="1" applyFont="1" applyFill="1" applyBorder="1" applyAlignment="1" applyProtection="1">
      <alignment horizontal="right" vertical="center"/>
    </xf>
    <xf numFmtId="0" fontId="65" fillId="0" borderId="11" xfId="43" applyFont="1" applyFill="1" applyBorder="1" applyAlignment="1">
      <alignment vertical="center"/>
    </xf>
    <xf numFmtId="0" fontId="65" fillId="0" borderId="11" xfId="43" applyFont="1" applyFill="1" applyBorder="1" applyAlignment="1">
      <alignment horizontal="left" vertical="center" wrapText="1"/>
    </xf>
    <xf numFmtId="3" fontId="65" fillId="0" borderId="11" xfId="64" applyNumberFormat="1" applyFont="1" applyFill="1" applyBorder="1" applyAlignment="1" applyProtection="1">
      <alignment vertical="center" wrapText="1"/>
      <protection locked="0"/>
    </xf>
    <xf numFmtId="0" fontId="65" fillId="0" borderId="11" xfId="43" applyFont="1" applyFill="1" applyBorder="1">
      <alignment vertical="center"/>
    </xf>
    <xf numFmtId="0" fontId="66" fillId="0" borderId="11" xfId="43" applyFont="1" applyFill="1" applyBorder="1" applyAlignment="1">
      <alignment horizontal="center" vertical="center"/>
    </xf>
    <xf numFmtId="176" fontId="64" fillId="0" borderId="0" xfId="0" applyNumberFormat="1" applyFont="1" applyFill="1">
      <alignment vertical="center"/>
    </xf>
    <xf numFmtId="0" fontId="65" fillId="0" borderId="0" xfId="0" applyNumberFormat="1" applyFont="1" applyFill="1">
      <alignment vertical="center"/>
    </xf>
    <xf numFmtId="3" fontId="65" fillId="0" borderId="11" xfId="40" applyNumberFormat="1" applyFont="1" applyFill="1" applyBorder="1" applyAlignment="1" applyProtection="1">
      <alignment vertical="center" wrapText="1"/>
      <protection locked="0"/>
    </xf>
    <xf numFmtId="3" fontId="65" fillId="0" borderId="11" xfId="40" applyNumberFormat="1" applyFont="1" applyFill="1" applyBorder="1" applyAlignment="1" applyProtection="1">
      <alignment vertical="center" wrapText="1"/>
    </xf>
    <xf numFmtId="3" fontId="65" fillId="0" borderId="11" xfId="64" applyNumberFormat="1" applyFont="1" applyFill="1" applyBorder="1" applyAlignment="1">
      <alignment vertical="center" wrapText="1"/>
    </xf>
    <xf numFmtId="0" fontId="65" fillId="0" borderId="0" xfId="0" applyFont="1" applyFill="1">
      <alignment vertical="center"/>
    </xf>
    <xf numFmtId="176" fontId="65" fillId="0" borderId="11" xfId="0" applyNumberFormat="1" applyFont="1" applyFill="1" applyBorder="1" applyAlignment="1">
      <alignment horizontal="right" vertical="center"/>
    </xf>
    <xf numFmtId="3" fontId="65" fillId="0" borderId="12" xfId="0" applyNumberFormat="1" applyFont="1" applyFill="1" applyBorder="1" applyAlignment="1" applyProtection="1">
      <alignment horizontal="right" vertical="center"/>
    </xf>
    <xf numFmtId="3" fontId="65" fillId="0" borderId="17" xfId="0" applyNumberFormat="1" applyFont="1" applyFill="1" applyBorder="1" applyAlignment="1" applyProtection="1">
      <alignment horizontal="right" vertical="center"/>
    </xf>
    <xf numFmtId="3" fontId="65" fillId="0" borderId="11" xfId="0" applyNumberFormat="1" applyFont="1" applyFill="1" applyBorder="1" applyAlignment="1">
      <alignment vertical="center" wrapText="1"/>
    </xf>
    <xf numFmtId="177" fontId="66" fillId="0" borderId="11" xfId="21" applyNumberFormat="1" applyFont="1" applyFill="1" applyBorder="1" applyAlignment="1">
      <alignment vertical="center" wrapText="1"/>
    </xf>
    <xf numFmtId="0" fontId="40" fillId="0" borderId="11" xfId="136" applyNumberFormat="1" applyFont="1" applyFill="1" applyBorder="1" applyAlignment="1" applyProtection="1">
      <alignment horizontal="left" vertical="center"/>
    </xf>
    <xf numFmtId="3" fontId="40" fillId="0" borderId="11" xfId="136" applyNumberFormat="1" applyFont="1" applyFill="1" applyBorder="1" applyAlignment="1" applyProtection="1">
      <alignment horizontal="right" vertical="center"/>
    </xf>
    <xf numFmtId="0" fontId="43" fillId="0" borderId="11" xfId="112" applyFont="1" applyFill="1" applyBorder="1" applyAlignment="1">
      <alignment horizontal="center" vertical="center"/>
    </xf>
    <xf numFmtId="3" fontId="43" fillId="0" borderId="11" xfId="77" applyNumberFormat="1" applyFont="1" applyFill="1" applyBorder="1" applyAlignment="1">
      <alignment vertical="center" wrapText="1"/>
    </xf>
    <xf numFmtId="3" fontId="65" fillId="0" borderId="11" xfId="44" applyNumberFormat="1" applyFont="1" applyFill="1" applyBorder="1" applyAlignment="1" applyProtection="1">
      <alignment horizontal="right" vertical="center"/>
    </xf>
    <xf numFmtId="177" fontId="65" fillId="0" borderId="11" xfId="0" applyNumberFormat="1" applyFont="1" applyFill="1" applyBorder="1" applyAlignment="1" applyProtection="1">
      <alignment horizontal="right" vertical="center"/>
    </xf>
    <xf numFmtId="177" fontId="65" fillId="0" borderId="11" xfId="0" applyNumberFormat="1" applyFont="1" applyFill="1" applyBorder="1" applyAlignment="1">
      <alignment vertical="center"/>
    </xf>
    <xf numFmtId="3" fontId="66" fillId="0" borderId="11" xfId="44" applyNumberFormat="1" applyFont="1" applyFill="1" applyBorder="1" applyAlignment="1" applyProtection="1">
      <alignment horizontal="right" vertical="center"/>
    </xf>
    <xf numFmtId="179" fontId="66" fillId="0" borderId="11" xfId="64" applyNumberFormat="1" applyFont="1" applyFill="1" applyBorder="1" applyAlignment="1" applyProtection="1">
      <alignment horizontal="right" vertical="center"/>
    </xf>
    <xf numFmtId="179" fontId="65" fillId="0" borderId="11" xfId="64" applyNumberFormat="1" applyFont="1" applyFill="1" applyBorder="1" applyAlignment="1" applyProtection="1">
      <alignment horizontal="right" vertical="center"/>
    </xf>
    <xf numFmtId="3" fontId="65" fillId="0" borderId="11" xfId="75" applyNumberFormat="1" applyFont="1" applyFill="1" applyBorder="1" applyAlignment="1">
      <alignment vertical="center" wrapText="1"/>
    </xf>
    <xf numFmtId="0" fontId="65" fillId="0" borderId="11" xfId="0" applyFont="1" applyFill="1" applyBorder="1" applyAlignment="1">
      <alignment vertical="center"/>
    </xf>
    <xf numFmtId="43" fontId="65" fillId="0" borderId="11" xfId="64" applyFont="1" applyFill="1" applyBorder="1" applyAlignment="1" applyProtection="1">
      <alignment horizontal="right" vertical="center"/>
    </xf>
    <xf numFmtId="0" fontId="65" fillId="0" borderId="11" xfId="0" applyNumberFormat="1" applyFont="1" applyFill="1" applyBorder="1" applyAlignment="1" applyProtection="1">
      <alignment horizontal="right" vertical="center"/>
    </xf>
    <xf numFmtId="177" fontId="66" fillId="0" borderId="11" xfId="0" applyNumberFormat="1" applyFont="1" applyFill="1" applyBorder="1" applyAlignment="1">
      <alignment vertical="center"/>
    </xf>
    <xf numFmtId="3" fontId="66" fillId="0" borderId="11" xfId="0" applyNumberFormat="1" applyFont="1" applyFill="1" applyBorder="1" applyAlignment="1">
      <alignment vertical="center"/>
    </xf>
    <xf numFmtId="177" fontId="66" fillId="0" borderId="11" xfId="44" applyNumberFormat="1" applyFont="1" applyFill="1" applyBorder="1" applyAlignment="1" applyProtection="1">
      <alignment horizontal="right" vertical="center"/>
    </xf>
    <xf numFmtId="3" fontId="66" fillId="0" borderId="11" xfId="45" applyNumberFormat="1" applyFont="1" applyFill="1" applyBorder="1" applyAlignment="1" applyProtection="1">
      <alignment vertical="center" wrapText="1"/>
      <protection locked="0"/>
    </xf>
    <xf numFmtId="3" fontId="66" fillId="0" borderId="11" xfId="75" applyNumberFormat="1" applyFont="1" applyFill="1" applyBorder="1" applyAlignment="1">
      <alignment vertical="center" wrapText="1"/>
    </xf>
    <xf numFmtId="179" fontId="66" fillId="0" borderId="11" xfId="64" applyNumberFormat="1" applyFont="1" applyFill="1" applyBorder="1" applyAlignment="1">
      <alignment vertical="center"/>
    </xf>
    <xf numFmtId="177" fontId="66" fillId="0" borderId="11" xfId="44" applyNumberFormat="1" applyFont="1" applyFill="1" applyBorder="1" applyAlignment="1" applyProtection="1">
      <alignment vertical="center" wrapText="1"/>
    </xf>
    <xf numFmtId="1" fontId="65" fillId="0" borderId="11" xfId="45" applyNumberFormat="1" applyFont="1" applyFill="1" applyBorder="1" applyAlignment="1" applyProtection="1">
      <alignment horizontal="left" vertical="center"/>
      <protection locked="0"/>
    </xf>
    <xf numFmtId="3" fontId="65" fillId="0" borderId="11" xfId="0" applyNumberFormat="1" applyFont="1" applyFill="1" applyBorder="1" applyAlignment="1">
      <alignment vertical="center"/>
    </xf>
    <xf numFmtId="3" fontId="65" fillId="0" borderId="11" xfId="0" applyNumberFormat="1" applyFont="1" applyFill="1" applyBorder="1" applyAlignment="1" applyProtection="1">
      <alignment horizontal="right" vertical="center" wrapText="1"/>
    </xf>
    <xf numFmtId="0" fontId="66" fillId="0" borderId="11" xfId="0" applyNumberFormat="1" applyFont="1" applyFill="1" applyBorder="1" applyAlignment="1" applyProtection="1">
      <alignment horizontal="left" vertical="center" wrapText="1"/>
    </xf>
    <xf numFmtId="0" fontId="66" fillId="0" borderId="11" xfId="0" applyNumberFormat="1" applyFont="1" applyFill="1" applyBorder="1" applyAlignment="1" applyProtection="1">
      <alignment vertical="center" wrapText="1"/>
    </xf>
    <xf numFmtId="0" fontId="65" fillId="0" borderId="11" xfId="0" applyNumberFormat="1" applyFont="1" applyFill="1" applyBorder="1" applyAlignment="1" applyProtection="1">
      <alignment horizontal="left" vertical="center" wrapText="1"/>
    </xf>
    <xf numFmtId="0" fontId="65" fillId="0" borderId="11" xfId="0" applyNumberFormat="1" applyFont="1" applyFill="1" applyBorder="1" applyAlignment="1" applyProtection="1">
      <alignment vertical="center" wrapText="1"/>
    </xf>
    <xf numFmtId="0" fontId="66" fillId="0" borderId="11" xfId="44" applyNumberFormat="1" applyFont="1" applyFill="1" applyBorder="1" applyAlignment="1" applyProtection="1">
      <alignment horizontal="left" vertical="center"/>
    </xf>
    <xf numFmtId="0" fontId="65" fillId="0" borderId="11" xfId="44" applyNumberFormat="1" applyFont="1" applyFill="1" applyBorder="1" applyAlignment="1" applyProtection="1">
      <alignment horizontal="left" vertical="center"/>
    </xf>
    <xf numFmtId="0" fontId="65" fillId="0" borderId="11" xfId="44" applyNumberFormat="1" applyFont="1" applyFill="1" applyBorder="1" applyAlignment="1" applyProtection="1">
      <alignment horizontal="left" vertical="center" wrapText="1"/>
    </xf>
    <xf numFmtId="3" fontId="65" fillId="0" borderId="11" xfId="0" applyNumberFormat="1" applyFont="1" applyFill="1" applyBorder="1" applyAlignment="1" applyProtection="1">
      <alignment vertical="center" wrapText="1"/>
    </xf>
    <xf numFmtId="1" fontId="66" fillId="0" borderId="11" xfId="45" applyNumberFormat="1" applyFont="1" applyFill="1" applyBorder="1" applyAlignment="1" applyProtection="1">
      <alignment horizontal="center" vertical="center"/>
      <protection locked="0"/>
    </xf>
    <xf numFmtId="0" fontId="66" fillId="0" borderId="11" xfId="40" applyFont="1" applyFill="1" applyBorder="1" applyAlignment="1">
      <alignment vertical="center"/>
    </xf>
    <xf numFmtId="3" fontId="65" fillId="0" borderId="11" xfId="39" applyNumberFormat="1" applyFont="1" applyFill="1" applyBorder="1" applyAlignment="1" applyProtection="1">
      <alignment horizontal="right" vertical="center" wrapText="1"/>
    </xf>
    <xf numFmtId="177" fontId="65" fillId="0" borderId="11" xfId="44" applyNumberFormat="1" applyFont="1" applyFill="1" applyBorder="1" applyAlignment="1" applyProtection="1">
      <alignment vertical="center" wrapText="1"/>
    </xf>
    <xf numFmtId="1" fontId="65" fillId="0" borderId="11" xfId="45" applyNumberFormat="1" applyFont="1" applyFill="1" applyBorder="1" applyAlignment="1" applyProtection="1">
      <alignment vertical="center"/>
      <protection locked="0"/>
    </xf>
    <xf numFmtId="1" fontId="65" fillId="0" borderId="11" xfId="45" applyNumberFormat="1" applyFont="1" applyFill="1" applyBorder="1" applyAlignment="1" applyProtection="1">
      <alignment horizontal="left" vertical="center" wrapText="1"/>
      <protection locked="0"/>
    </xf>
    <xf numFmtId="176" fontId="65" fillId="0" borderId="11" xfId="64" applyNumberFormat="1" applyFont="1" applyFill="1" applyBorder="1" applyAlignment="1">
      <alignment vertical="center"/>
    </xf>
    <xf numFmtId="1" fontId="68" fillId="0" borderId="11" xfId="45" applyNumberFormat="1" applyFont="1" applyFill="1" applyBorder="1" applyAlignment="1" applyProtection="1">
      <alignment horizontal="center" vertical="center"/>
      <protection locked="0"/>
    </xf>
    <xf numFmtId="1" fontId="65" fillId="0" borderId="11" xfId="1" applyNumberFormat="1" applyFont="1" applyFill="1" applyBorder="1" applyAlignment="1">
      <alignment horizontal="center" vertical="center" wrapText="1"/>
    </xf>
    <xf numFmtId="177" fontId="65" fillId="0" borderId="11" xfId="44" applyNumberFormat="1" applyFont="1" applyFill="1" applyBorder="1" applyAlignment="1" applyProtection="1">
      <alignment horizontal="right" vertical="center"/>
    </xf>
    <xf numFmtId="179" fontId="24" fillId="0" borderId="11" xfId="124" applyNumberFormat="1" applyFont="1" applyBorder="1" applyAlignment="1">
      <alignment vertical="center"/>
    </xf>
    <xf numFmtId="0" fontId="24" fillId="0" borderId="0" xfId="138"/>
    <xf numFmtId="0" fontId="34" fillId="0" borderId="0" xfId="138" applyNumberFormat="1" applyFont="1" applyFill="1" applyBorder="1" applyAlignment="1" applyProtection="1"/>
    <xf numFmtId="0" fontId="74" fillId="46" borderId="0" xfId="138" applyNumberFormat="1" applyFont="1" applyFill="1" applyBorder="1" applyAlignment="1" applyProtection="1">
      <alignment horizontal="center" vertical="center"/>
    </xf>
    <xf numFmtId="0" fontId="75" fillId="46" borderId="0" xfId="138" applyNumberFormat="1" applyFont="1" applyFill="1" applyBorder="1" applyAlignment="1" applyProtection="1">
      <alignment horizontal="center" vertical="center"/>
    </xf>
    <xf numFmtId="0" fontId="76" fillId="46" borderId="0" xfId="138" applyNumberFormat="1" applyFont="1" applyFill="1" applyBorder="1" applyAlignment="1" applyProtection="1">
      <alignment horizontal="center" vertical="center"/>
    </xf>
    <xf numFmtId="0" fontId="71" fillId="46" borderId="0" xfId="138" applyNumberFormat="1" applyFont="1" applyFill="1" applyBorder="1" applyAlignment="1" applyProtection="1">
      <alignment vertical="center"/>
    </xf>
    <xf numFmtId="0" fontId="70" fillId="46" borderId="0" xfId="138" applyNumberFormat="1" applyFont="1" applyFill="1" applyBorder="1" applyAlignment="1" applyProtection="1">
      <alignment horizontal="center" vertical="center"/>
    </xf>
    <xf numFmtId="0" fontId="77" fillId="46" borderId="0" xfId="138" applyNumberFormat="1" applyFont="1" applyFill="1" applyBorder="1" applyAlignment="1" applyProtection="1">
      <alignment horizontal="center" vertical="center"/>
    </xf>
    <xf numFmtId="0" fontId="24" fillId="46" borderId="0" xfId="138" applyNumberFormat="1" applyFont="1" applyFill="1" applyBorder="1" applyAlignment="1" applyProtection="1"/>
    <xf numFmtId="0" fontId="24" fillId="0" borderId="0" xfId="138" applyAlignment="1">
      <alignment horizontal="center" vertical="center"/>
    </xf>
    <xf numFmtId="0" fontId="4" fillId="0" borderId="0" xfId="138" applyFont="1"/>
    <xf numFmtId="0" fontId="79" fillId="0" borderId="0" xfId="138" applyFont="1"/>
    <xf numFmtId="0" fontId="80" fillId="0" borderId="0" xfId="138" applyFont="1"/>
    <xf numFmtId="180" fontId="80" fillId="0" borderId="39" xfId="138" applyNumberFormat="1" applyFont="1" applyFill="1" applyBorder="1" applyAlignment="1" applyProtection="1">
      <alignment vertical="center" wrapText="1"/>
    </xf>
    <xf numFmtId="180" fontId="80" fillId="0" borderId="41" xfId="138" applyNumberFormat="1" applyFont="1" applyFill="1" applyBorder="1" applyAlignment="1" applyProtection="1">
      <alignment vertical="center" wrapText="1"/>
    </xf>
    <xf numFmtId="180" fontId="80" fillId="0" borderId="42" xfId="138" applyNumberFormat="1" applyFont="1" applyFill="1" applyBorder="1" applyAlignment="1" applyProtection="1">
      <alignment vertical="center" wrapText="1"/>
    </xf>
    <xf numFmtId="180" fontId="80" fillId="0" borderId="11" xfId="138" applyNumberFormat="1" applyFont="1" applyFill="1" applyBorder="1" applyAlignment="1" applyProtection="1">
      <alignment vertical="center" wrapText="1"/>
    </xf>
    <xf numFmtId="180" fontId="80" fillId="0" borderId="40" xfId="138" applyNumberFormat="1" applyFont="1" applyFill="1" applyBorder="1" applyAlignment="1" applyProtection="1">
      <alignment vertical="center" wrapText="1"/>
    </xf>
    <xf numFmtId="49" fontId="80" fillId="0" borderId="41" xfId="138" applyNumberFormat="1" applyFont="1" applyFill="1" applyBorder="1" applyAlignment="1" applyProtection="1">
      <alignment horizontal="center" vertical="center" wrapText="1"/>
    </xf>
    <xf numFmtId="49" fontId="80" fillId="0" borderId="42" xfId="138" applyNumberFormat="1" applyFont="1" applyFill="1" applyBorder="1" applyAlignment="1" applyProtection="1">
      <alignment horizontal="center" vertical="center" wrapText="1"/>
    </xf>
    <xf numFmtId="49" fontId="80" fillId="0" borderId="11" xfId="138" applyNumberFormat="1" applyFont="1" applyFill="1" applyBorder="1" applyAlignment="1" applyProtection="1">
      <alignment horizontal="center" vertical="center" wrapText="1"/>
    </xf>
    <xf numFmtId="49" fontId="80" fillId="0" borderId="39" xfId="138" applyNumberFormat="1" applyFont="1" applyFill="1" applyBorder="1" applyAlignment="1" applyProtection="1">
      <alignment horizontal="center" vertical="center" wrapText="1"/>
    </xf>
    <xf numFmtId="49" fontId="80" fillId="0" borderId="40" xfId="138" applyNumberFormat="1" applyFont="1" applyFill="1" applyBorder="1" applyAlignment="1" applyProtection="1">
      <alignment horizontal="center" vertical="center" wrapText="1"/>
    </xf>
    <xf numFmtId="180" fontId="70" fillId="0" borderId="23" xfId="138" applyNumberFormat="1" applyFont="1" applyFill="1" applyBorder="1" applyAlignment="1" applyProtection="1">
      <alignment vertical="center"/>
    </xf>
    <xf numFmtId="180" fontId="70" fillId="0" borderId="40" xfId="138" applyNumberFormat="1" applyFont="1" applyFill="1" applyBorder="1" applyAlignment="1" applyProtection="1">
      <alignment vertical="center"/>
    </xf>
    <xf numFmtId="180" fontId="70" fillId="0" borderId="36" xfId="138" applyNumberFormat="1" applyFont="1" applyFill="1" applyBorder="1" applyAlignment="1" applyProtection="1">
      <alignment horizontal="right" vertical="center"/>
    </xf>
    <xf numFmtId="180" fontId="70" fillId="0" borderId="35" xfId="138" applyNumberFormat="1" applyFont="1" applyFill="1" applyBorder="1" applyAlignment="1" applyProtection="1">
      <alignment horizontal="right" vertical="center"/>
    </xf>
    <xf numFmtId="180" fontId="70" fillId="0" borderId="41" xfId="138" applyNumberFormat="1" applyFont="1" applyFill="1" applyBorder="1" applyAlignment="1" applyProtection="1">
      <alignment horizontal="right" vertical="center"/>
    </xf>
    <xf numFmtId="180" fontId="70" fillId="0" borderId="40" xfId="138" applyNumberFormat="1" applyFont="1" applyFill="1" applyBorder="1" applyAlignment="1" applyProtection="1">
      <alignment horizontal="right" vertical="center"/>
    </xf>
    <xf numFmtId="180" fontId="70" fillId="0" borderId="53" xfId="138" applyNumberFormat="1" applyFont="1" applyFill="1" applyBorder="1" applyAlignment="1" applyProtection="1">
      <alignment horizontal="right" vertical="center"/>
    </xf>
    <xf numFmtId="180" fontId="83" fillId="0" borderId="36" xfId="138" applyNumberFormat="1" applyFont="1" applyFill="1" applyBorder="1" applyAlignment="1" applyProtection="1">
      <alignment vertical="center" wrapText="1"/>
    </xf>
    <xf numFmtId="180" fontId="83" fillId="0" borderId="35" xfId="138" applyNumberFormat="1" applyFont="1" applyFill="1" applyBorder="1" applyAlignment="1" applyProtection="1">
      <alignment vertical="center" wrapText="1"/>
    </xf>
    <xf numFmtId="0" fontId="72" fillId="0" borderId="52" xfId="138" applyNumberFormat="1" applyFont="1" applyFill="1" applyBorder="1" applyAlignment="1" applyProtection="1">
      <alignment vertical="center"/>
    </xf>
    <xf numFmtId="180" fontId="83" fillId="0" borderId="41" xfId="138" applyNumberFormat="1" applyFont="1" applyFill="1" applyBorder="1" applyAlignment="1" applyProtection="1">
      <alignment vertical="center" wrapText="1"/>
    </xf>
    <xf numFmtId="180" fontId="83" fillId="0" borderId="40" xfId="138" applyNumberFormat="1" applyFont="1" applyFill="1" applyBorder="1" applyAlignment="1" applyProtection="1">
      <alignment vertical="center" wrapText="1"/>
    </xf>
    <xf numFmtId="0" fontId="72" fillId="0" borderId="47" xfId="138" applyNumberFormat="1" applyFont="1" applyFill="1" applyBorder="1" applyAlignment="1" applyProtection="1">
      <alignment vertical="center"/>
    </xf>
    <xf numFmtId="180" fontId="80" fillId="0" borderId="35" xfId="138" applyNumberFormat="1" applyFont="1" applyFill="1" applyBorder="1" applyAlignment="1" applyProtection="1">
      <alignment vertical="center" wrapText="1"/>
    </xf>
    <xf numFmtId="0" fontId="72" fillId="0" borderId="47" xfId="138" applyNumberFormat="1" applyFont="1" applyFill="1" applyBorder="1" applyAlignment="1" applyProtection="1">
      <alignment horizontal="center" vertical="center"/>
    </xf>
    <xf numFmtId="0" fontId="82" fillId="0" borderId="47" xfId="138" applyNumberFormat="1" applyFont="1" applyFill="1" applyBorder="1" applyAlignment="1" applyProtection="1">
      <alignment horizontal="center" vertical="center"/>
    </xf>
    <xf numFmtId="181" fontId="82" fillId="0" borderId="41" xfId="138" applyNumberFormat="1" applyFont="1" applyFill="1" applyBorder="1" applyAlignment="1" applyProtection="1">
      <alignment horizontal="center" vertical="center" wrapText="1"/>
    </xf>
    <xf numFmtId="181" fontId="82" fillId="0" borderId="40" xfId="138" applyNumberFormat="1" applyFont="1" applyFill="1" applyBorder="1" applyAlignment="1" applyProtection="1">
      <alignment horizontal="center" vertical="center" wrapText="1"/>
    </xf>
    <xf numFmtId="181" fontId="83" fillId="0" borderId="41" xfId="138" applyNumberFormat="1" applyFont="1" applyFill="1" applyBorder="1" applyAlignment="1" applyProtection="1">
      <alignment horizontal="center" vertical="center" wrapText="1"/>
    </xf>
    <xf numFmtId="181" fontId="83" fillId="0" borderId="40" xfId="138" applyNumberFormat="1" applyFont="1" applyFill="1" applyBorder="1" applyAlignment="1" applyProtection="1">
      <alignment horizontal="center" vertical="center" wrapText="1"/>
    </xf>
    <xf numFmtId="180" fontId="83" fillId="0" borderId="53" xfId="138" applyNumberFormat="1" applyFont="1" applyFill="1" applyBorder="1" applyAlignment="1" applyProtection="1">
      <alignment vertical="center" wrapText="1"/>
    </xf>
    <xf numFmtId="180" fontId="83" fillId="0" borderId="50" xfId="138" applyNumberFormat="1" applyFont="1" applyFill="1" applyBorder="1" applyAlignment="1" applyProtection="1">
      <alignment vertical="center" wrapText="1"/>
    </xf>
    <xf numFmtId="0" fontId="72" fillId="0" borderId="48" xfId="138" applyNumberFormat="1" applyFont="1" applyFill="1" applyBorder="1" applyAlignment="1" applyProtection="1">
      <alignment vertical="center"/>
    </xf>
    <xf numFmtId="0" fontId="70" fillId="0" borderId="43" xfId="138" applyNumberFormat="1" applyFont="1" applyFill="1" applyBorder="1" applyAlignment="1" applyProtection="1">
      <alignment horizontal="center" vertical="center"/>
    </xf>
    <xf numFmtId="180" fontId="70" fillId="0" borderId="23" xfId="138" applyNumberFormat="1" applyFont="1" applyFill="1" applyBorder="1" applyAlignment="1" applyProtection="1">
      <alignment horizontal="right" vertical="center"/>
    </xf>
    <xf numFmtId="180" fontId="70" fillId="0" borderId="56" xfId="138" applyNumberFormat="1" applyFont="1" applyFill="1" applyBorder="1" applyAlignment="1" applyProtection="1">
      <alignment horizontal="right" vertical="center"/>
    </xf>
    <xf numFmtId="0" fontId="70" fillId="0" borderId="57" xfId="138" applyNumberFormat="1" applyFont="1" applyFill="1" applyBorder="1" applyAlignment="1" applyProtection="1">
      <alignment vertical="center"/>
    </xf>
    <xf numFmtId="180" fontId="70" fillId="0" borderId="19" xfId="138" applyNumberFormat="1" applyFont="1" applyFill="1" applyBorder="1" applyAlignment="1" applyProtection="1">
      <alignment horizontal="right" vertical="center"/>
    </xf>
    <xf numFmtId="0" fontId="70" fillId="0" borderId="47" xfId="138" applyNumberFormat="1" applyFont="1" applyFill="1" applyBorder="1" applyAlignment="1" applyProtection="1">
      <alignment vertical="center"/>
    </xf>
    <xf numFmtId="0" fontId="70" fillId="0" borderId="40" xfId="138" applyNumberFormat="1" applyFont="1" applyFill="1" applyBorder="1" applyAlignment="1" applyProtection="1">
      <alignment horizontal="center" vertical="center"/>
    </xf>
    <xf numFmtId="180" fontId="70" fillId="0" borderId="29" xfId="138" applyNumberFormat="1" applyFont="1" applyFill="1" applyBorder="1" applyAlignment="1" applyProtection="1">
      <alignment horizontal="right" vertical="center"/>
    </xf>
    <xf numFmtId="0" fontId="70" fillId="0" borderId="54" xfId="138" applyNumberFormat="1" applyFont="1" applyFill="1" applyBorder="1" applyAlignment="1" applyProtection="1">
      <alignment vertical="center"/>
    </xf>
    <xf numFmtId="0" fontId="70" fillId="0" borderId="51" xfId="138" applyNumberFormat="1" applyFont="1" applyFill="1" applyBorder="1" applyAlignment="1" applyProtection="1">
      <alignment horizontal="center" vertical="center"/>
    </xf>
    <xf numFmtId="0" fontId="70" fillId="0" borderId="56" xfId="138" applyNumberFormat="1" applyFont="1" applyFill="1" applyBorder="1" applyAlignment="1" applyProtection="1">
      <alignment horizontal="center" vertical="center"/>
    </xf>
    <xf numFmtId="0" fontId="70" fillId="0" borderId="39" xfId="138" applyNumberFormat="1" applyFont="1" applyFill="1" applyBorder="1" applyAlignment="1" applyProtection="1">
      <alignment vertical="center"/>
    </xf>
    <xf numFmtId="182" fontId="70" fillId="0" borderId="40" xfId="138" applyNumberFormat="1" applyFont="1" applyFill="1" applyBorder="1" applyAlignment="1" applyProtection="1">
      <alignment horizontal="center" vertical="center"/>
    </xf>
    <xf numFmtId="180" fontId="70" fillId="0" borderId="29" xfId="138" applyNumberFormat="1" applyFont="1" applyFill="1" applyBorder="1" applyAlignment="1" applyProtection="1">
      <alignment vertical="center"/>
    </xf>
    <xf numFmtId="0" fontId="70" fillId="0" borderId="28" xfId="138" applyNumberFormat="1" applyFont="1" applyFill="1" applyBorder="1" applyAlignment="1" applyProtection="1">
      <alignment vertical="center"/>
    </xf>
    <xf numFmtId="180" fontId="4" fillId="0" borderId="29" xfId="138" applyNumberFormat="1" applyFont="1" applyFill="1" applyBorder="1" applyAlignment="1" applyProtection="1">
      <alignment vertical="center"/>
    </xf>
    <xf numFmtId="0" fontId="70" fillId="0" borderId="45" xfId="138" applyNumberFormat="1" applyFont="1" applyFill="1" applyBorder="1" applyAlignment="1" applyProtection="1">
      <alignment horizontal="center" vertical="center"/>
    </xf>
    <xf numFmtId="0" fontId="70" fillId="0" borderId="22" xfId="138" applyNumberFormat="1" applyFont="1" applyFill="1" applyBorder="1" applyAlignment="1" applyProtection="1">
      <alignment vertical="center"/>
    </xf>
    <xf numFmtId="181" fontId="70" fillId="0" borderId="40" xfId="138" applyNumberFormat="1" applyFont="1" applyFill="1" applyBorder="1" applyAlignment="1" applyProtection="1">
      <alignment vertical="center"/>
    </xf>
    <xf numFmtId="181" fontId="70" fillId="0" borderId="40" xfId="138" applyNumberFormat="1" applyFont="1" applyFill="1" applyBorder="1" applyAlignment="1" applyProtection="1">
      <alignment horizontal="center" vertical="center"/>
    </xf>
    <xf numFmtId="180" fontId="70" fillId="0" borderId="59" xfId="138" applyNumberFormat="1" applyFont="1" applyFill="1" applyBorder="1" applyAlignment="1" applyProtection="1">
      <alignment vertical="center"/>
    </xf>
    <xf numFmtId="180" fontId="70" fillId="0" borderId="50" xfId="138" applyNumberFormat="1" applyFont="1" applyFill="1" applyBorder="1" applyAlignment="1" applyProtection="1">
      <alignment vertical="center"/>
    </xf>
    <xf numFmtId="180" fontId="83" fillId="0" borderId="39" xfId="138" applyNumberFormat="1" applyFont="1" applyFill="1" applyBorder="1" applyAlignment="1" applyProtection="1">
      <alignment horizontal="right" vertical="center" wrapText="1"/>
    </xf>
    <xf numFmtId="180" fontId="83" fillId="0" borderId="41" xfId="138" applyNumberFormat="1" applyFont="1" applyFill="1" applyBorder="1" applyAlignment="1" applyProtection="1">
      <alignment horizontal="right" vertical="center" wrapText="1"/>
    </xf>
    <xf numFmtId="180" fontId="80" fillId="0" borderId="41" xfId="138" applyNumberFormat="1" applyFont="1" applyFill="1" applyBorder="1" applyAlignment="1" applyProtection="1">
      <alignment horizontal="right" vertical="center" wrapText="1"/>
    </xf>
    <xf numFmtId="180" fontId="83" fillId="0" borderId="40" xfId="138" applyNumberFormat="1" applyFont="1" applyFill="1" applyBorder="1" applyAlignment="1" applyProtection="1">
      <alignment horizontal="right" vertical="center" wrapText="1"/>
    </xf>
    <xf numFmtId="0" fontId="86" fillId="0" borderId="0" xfId="138" applyFont="1"/>
    <xf numFmtId="180" fontId="83" fillId="0" borderId="34" xfId="138" applyNumberFormat="1" applyFont="1" applyFill="1" applyBorder="1" applyAlignment="1" applyProtection="1">
      <alignment vertical="center" wrapText="1"/>
    </xf>
    <xf numFmtId="180" fontId="83" fillId="0" borderId="39" xfId="138" applyNumberFormat="1" applyFont="1" applyFill="1" applyBorder="1" applyAlignment="1" applyProtection="1">
      <alignment vertical="center" wrapText="1"/>
    </xf>
    <xf numFmtId="0" fontId="82" fillId="0" borderId="41" xfId="138" applyNumberFormat="1" applyFont="1" applyFill="1" applyBorder="1" applyAlignment="1" applyProtection="1">
      <alignment horizontal="center" vertical="center" wrapText="1"/>
    </xf>
    <xf numFmtId="180" fontId="87" fillId="0" borderId="47" xfId="138" applyNumberFormat="1" applyFont="1" applyFill="1" applyBorder="1" applyAlignment="1" applyProtection="1">
      <alignment vertical="center" wrapText="1"/>
    </xf>
    <xf numFmtId="180" fontId="87" fillId="0" borderId="40" xfId="138" applyNumberFormat="1" applyFont="1" applyFill="1" applyBorder="1" applyAlignment="1" applyProtection="1">
      <alignment vertical="center" wrapText="1"/>
    </xf>
    <xf numFmtId="180" fontId="87" fillId="0" borderId="41" xfId="138" applyNumberFormat="1" applyFont="1" applyFill="1" applyBorder="1" applyAlignment="1" applyProtection="1">
      <alignment vertical="center" wrapText="1"/>
    </xf>
    <xf numFmtId="182" fontId="72" fillId="0" borderId="25" xfId="138" applyNumberFormat="1" applyFont="1" applyFill="1" applyBorder="1" applyAlignment="1" applyProtection="1">
      <alignment horizontal="center" vertical="center"/>
    </xf>
    <xf numFmtId="0" fontId="72" fillId="0" borderId="19" xfId="138" applyNumberFormat="1" applyFont="1" applyFill="1" applyBorder="1" applyAlignment="1" applyProtection="1">
      <alignment horizontal="center" vertical="center"/>
    </xf>
    <xf numFmtId="184" fontId="72" fillId="0" borderId="42" xfId="138" applyNumberFormat="1" applyFont="1" applyFill="1" applyBorder="1" applyAlignment="1" applyProtection="1">
      <alignment horizontal="right" vertical="center" wrapText="1"/>
    </xf>
    <xf numFmtId="182" fontId="72" fillId="0" borderId="19" xfId="138" applyNumberFormat="1" applyFont="1" applyFill="1" applyBorder="1" applyAlignment="1" applyProtection="1">
      <alignment horizontal="center" vertical="center"/>
    </xf>
    <xf numFmtId="180" fontId="72" fillId="0" borderId="19" xfId="138" applyNumberFormat="1" applyFont="1" applyFill="1" applyBorder="1" applyAlignment="1" applyProtection="1">
      <alignment horizontal="right" vertical="center" wrapText="1"/>
    </xf>
    <xf numFmtId="184" fontId="24" fillId="0" borderId="42" xfId="138" applyNumberFormat="1" applyFont="1" applyFill="1" applyBorder="1" applyAlignment="1" applyProtection="1">
      <alignment horizontal="right" vertical="center" wrapText="1"/>
    </xf>
    <xf numFmtId="0" fontId="72" fillId="0" borderId="42" xfId="138" applyNumberFormat="1" applyFont="1" applyFill="1" applyBorder="1" applyAlignment="1" applyProtection="1">
      <alignment horizontal="center" vertical="center"/>
    </xf>
    <xf numFmtId="176" fontId="72" fillId="0" borderId="42" xfId="138" applyNumberFormat="1" applyFont="1" applyFill="1" applyBorder="1" applyAlignment="1" applyProtection="1">
      <alignment horizontal="right" vertical="center" wrapText="1"/>
    </xf>
    <xf numFmtId="180" fontId="72" fillId="0" borderId="42" xfId="138" applyNumberFormat="1" applyFont="1" applyFill="1" applyBorder="1" applyAlignment="1" applyProtection="1">
      <alignment horizontal="right" vertical="center" wrapText="1"/>
    </xf>
    <xf numFmtId="182" fontId="72" fillId="0" borderId="42" xfId="138" applyNumberFormat="1" applyFont="1" applyFill="1" applyBorder="1" applyAlignment="1" applyProtection="1">
      <alignment horizontal="center" vertical="center"/>
    </xf>
    <xf numFmtId="184" fontId="72" fillId="0" borderId="19" xfId="138" applyNumberFormat="1" applyFont="1" applyFill="1" applyBorder="1" applyAlignment="1" applyProtection="1">
      <alignment horizontal="right" vertical="center" wrapText="1"/>
    </xf>
    <xf numFmtId="184" fontId="24" fillId="0" borderId="19" xfId="138" applyNumberFormat="1" applyFont="1" applyFill="1" applyBorder="1" applyAlignment="1" applyProtection="1">
      <alignment horizontal="right" vertical="center" wrapText="1"/>
    </xf>
    <xf numFmtId="176" fontId="72" fillId="0" borderId="19" xfId="138" applyNumberFormat="1" applyFont="1" applyFill="1" applyBorder="1" applyAlignment="1" applyProtection="1">
      <alignment horizontal="right" vertical="center" wrapText="1"/>
    </xf>
    <xf numFmtId="180" fontId="72" fillId="0" borderId="76" xfId="138" applyNumberFormat="1" applyFont="1" applyFill="1" applyBorder="1" applyAlignment="1" applyProtection="1">
      <alignment horizontal="right" vertical="center" wrapText="1"/>
    </xf>
    <xf numFmtId="182" fontId="72" fillId="0" borderId="79" xfId="138" applyNumberFormat="1" applyFont="1" applyFill="1" applyBorder="1" applyAlignment="1" applyProtection="1">
      <alignment horizontal="center" vertical="center"/>
    </xf>
    <xf numFmtId="180" fontId="72" fillId="0" borderId="81" xfId="138" applyNumberFormat="1" applyFont="1" applyFill="1" applyBorder="1" applyAlignment="1" applyProtection="1">
      <alignment horizontal="right" vertical="center" wrapText="1"/>
    </xf>
    <xf numFmtId="176" fontId="72" fillId="0" borderId="14" xfId="138" applyNumberFormat="1" applyFont="1" applyFill="1" applyBorder="1" applyAlignment="1" applyProtection="1">
      <alignment horizontal="right" vertical="center" wrapText="1"/>
    </xf>
    <xf numFmtId="0" fontId="72" fillId="0" borderId="73" xfId="138" applyNumberFormat="1" applyFont="1" applyFill="1" applyBorder="1" applyAlignment="1" applyProtection="1">
      <alignment horizontal="left" vertical="center" wrapText="1"/>
    </xf>
    <xf numFmtId="0" fontId="72" fillId="0" borderId="11" xfId="138" applyNumberFormat="1" applyFont="1" applyFill="1" applyBorder="1" applyAlignment="1" applyProtection="1">
      <alignment horizontal="center" vertical="center" wrapText="1"/>
    </xf>
    <xf numFmtId="0" fontId="72" fillId="0" borderId="19" xfId="138" applyNumberFormat="1" applyFont="1" applyFill="1" applyBorder="1" applyAlignment="1" applyProtection="1">
      <alignment horizontal="center" vertical="center" wrapText="1"/>
    </xf>
    <xf numFmtId="0" fontId="72" fillId="0" borderId="82" xfId="138" applyNumberFormat="1" applyFont="1" applyFill="1" applyBorder="1" applyAlignment="1" applyProtection="1">
      <alignment horizontal="center" vertical="center" wrapText="1"/>
    </xf>
    <xf numFmtId="185" fontId="72" fillId="0" borderId="19" xfId="138" applyNumberFormat="1" applyFont="1" applyFill="1" applyBorder="1" applyAlignment="1" applyProtection="1">
      <alignment horizontal="right" vertical="center" wrapText="1"/>
    </xf>
    <xf numFmtId="0" fontId="72" fillId="0" borderId="83" xfId="138" applyNumberFormat="1" applyFont="1" applyFill="1" applyBorder="1" applyAlignment="1" applyProtection="1">
      <alignment horizontal="left" vertical="center" wrapText="1"/>
    </xf>
    <xf numFmtId="181" fontId="72" fillId="0" borderId="82" xfId="138" applyNumberFormat="1" applyFont="1" applyFill="1" applyBorder="1" applyAlignment="1" applyProtection="1">
      <alignment horizontal="right" vertical="center" wrapText="1"/>
    </xf>
    <xf numFmtId="0" fontId="24" fillId="0" borderId="14" xfId="138" applyFill="1" applyBorder="1" applyAlignment="1">
      <alignment vertical="center"/>
    </xf>
    <xf numFmtId="181" fontId="72" fillId="0" borderId="14" xfId="138" applyNumberFormat="1" applyFont="1" applyFill="1" applyBorder="1" applyAlignment="1" applyProtection="1">
      <alignment horizontal="right" vertical="center" wrapText="1"/>
    </xf>
    <xf numFmtId="0" fontId="72" fillId="0" borderId="84" xfId="138" applyNumberFormat="1" applyFont="1" applyFill="1" applyBorder="1" applyAlignment="1" applyProtection="1">
      <alignment horizontal="left" vertical="center" wrapText="1"/>
    </xf>
    <xf numFmtId="0" fontId="72" fillId="0" borderId="32" xfId="138" applyNumberFormat="1" applyFont="1" applyFill="1" applyBorder="1" applyAlignment="1" applyProtection="1">
      <alignment horizontal="center" vertical="center" wrapText="1"/>
    </xf>
    <xf numFmtId="181" fontId="72" fillId="0" borderId="85" xfId="138" applyNumberFormat="1" applyFont="1" applyFill="1" applyBorder="1" applyAlignment="1" applyProtection="1">
      <alignment horizontal="right" vertical="center" wrapText="1"/>
    </xf>
    <xf numFmtId="176" fontId="72" fillId="0" borderId="86" xfId="138" applyNumberFormat="1" applyFont="1" applyFill="1" applyBorder="1" applyAlignment="1" applyProtection="1">
      <alignment horizontal="right" vertical="center" wrapText="1"/>
    </xf>
    <xf numFmtId="184" fontId="70" fillId="0" borderId="72" xfId="138" applyNumberFormat="1" applyFont="1" applyFill="1" applyBorder="1" applyAlignment="1" applyProtection="1">
      <alignment horizontal="right" vertical="center"/>
    </xf>
    <xf numFmtId="184" fontId="70" fillId="0" borderId="19" xfId="138" applyNumberFormat="1" applyFont="1" applyFill="1" applyBorder="1" applyAlignment="1" applyProtection="1">
      <alignment horizontal="right" vertical="center"/>
    </xf>
    <xf numFmtId="178" fontId="70" fillId="0" borderId="19" xfId="138" applyNumberFormat="1" applyFont="1" applyFill="1" applyBorder="1" applyAlignment="1" applyProtection="1">
      <alignment horizontal="right" vertical="center"/>
    </xf>
    <xf numFmtId="178" fontId="70" fillId="0" borderId="19" xfId="138" applyNumberFormat="1" applyFont="1" applyFill="1" applyBorder="1" applyAlignment="1" applyProtection="1">
      <alignment vertical="center"/>
    </xf>
    <xf numFmtId="178" fontId="70" fillId="0" borderId="86" xfId="138" applyNumberFormat="1" applyFont="1" applyFill="1" applyBorder="1" applyAlignment="1" applyProtection="1">
      <alignment vertical="center"/>
    </xf>
    <xf numFmtId="184" fontId="70" fillId="0" borderId="40" xfId="138" applyNumberFormat="1" applyFont="1" applyFill="1" applyBorder="1" applyAlignment="1" applyProtection="1">
      <alignment horizontal="right" vertical="center"/>
    </xf>
    <xf numFmtId="180" fontId="90" fillId="0" borderId="40" xfId="138" applyNumberFormat="1" applyFont="1" applyFill="1" applyBorder="1" applyAlignment="1" applyProtection="1">
      <alignment horizontal="right" vertical="center"/>
    </xf>
    <xf numFmtId="184" fontId="70" fillId="0" borderId="50" xfId="138" applyNumberFormat="1" applyFont="1" applyFill="1" applyBorder="1" applyAlignment="1" applyProtection="1">
      <alignment horizontal="right" vertical="center"/>
    </xf>
    <xf numFmtId="184" fontId="70" fillId="0" borderId="35" xfId="138" applyNumberFormat="1" applyFont="1" applyFill="1" applyBorder="1" applyAlignment="1" applyProtection="1">
      <alignment horizontal="right" vertical="center"/>
    </xf>
    <xf numFmtId="184" fontId="70" fillId="0" borderId="29" xfId="138" applyNumberFormat="1" applyFont="1" applyFill="1" applyBorder="1" applyAlignment="1" applyProtection="1">
      <alignment horizontal="right" vertical="center"/>
    </xf>
    <xf numFmtId="187" fontId="70" fillId="0" borderId="23" xfId="138" applyNumberFormat="1" applyFont="1" applyFill="1" applyBorder="1" applyAlignment="1" applyProtection="1">
      <alignment vertical="center"/>
    </xf>
    <xf numFmtId="187" fontId="70" fillId="0" borderId="56" xfId="138" applyNumberFormat="1" applyFont="1" applyFill="1" applyBorder="1" applyAlignment="1" applyProtection="1">
      <alignment vertical="center"/>
    </xf>
    <xf numFmtId="178" fontId="70" fillId="0" borderId="58" xfId="138" applyNumberFormat="1" applyFont="1" applyFill="1" applyBorder="1" applyAlignment="1" applyProtection="1">
      <alignment vertical="center"/>
    </xf>
    <xf numFmtId="187" fontId="70" fillId="0" borderId="50" xfId="138" applyNumberFormat="1" applyFont="1" applyFill="1" applyBorder="1" applyAlignment="1" applyProtection="1">
      <alignment vertical="center"/>
    </xf>
    <xf numFmtId="180" fontId="70" fillId="0" borderId="35" xfId="138" applyNumberFormat="1" applyFont="1" applyFill="1" applyBorder="1" applyAlignment="1" applyProtection="1">
      <alignment vertical="center"/>
    </xf>
    <xf numFmtId="178" fontId="70" fillId="0" borderId="56" xfId="138" applyNumberFormat="1" applyFont="1" applyFill="1" applyBorder="1" applyAlignment="1" applyProtection="1">
      <alignment vertical="center"/>
    </xf>
    <xf numFmtId="185" fontId="70" fillId="0" borderId="56" xfId="138" applyNumberFormat="1" applyFont="1" applyFill="1" applyBorder="1" applyAlignment="1" applyProtection="1">
      <alignment vertical="center"/>
    </xf>
    <xf numFmtId="184" fontId="70" fillId="0" borderId="39" xfId="138" applyNumberFormat="1" applyFont="1" applyFill="1" applyBorder="1" applyAlignment="1" applyProtection="1">
      <alignment horizontal="right" vertical="center"/>
    </xf>
    <xf numFmtId="184" fontId="70" fillId="0" borderId="93" xfId="138" applyNumberFormat="1" applyFont="1" applyFill="1" applyBorder="1" applyAlignment="1" applyProtection="1">
      <alignment horizontal="right" vertical="center"/>
    </xf>
    <xf numFmtId="0" fontId="70" fillId="0" borderId="41" xfId="138" applyNumberFormat="1" applyFont="1" applyFill="1" applyBorder="1" applyAlignment="1" applyProtection="1">
      <alignment horizontal="center" vertical="center" wrapText="1"/>
    </xf>
    <xf numFmtId="178" fontId="70" fillId="0" borderId="94" xfId="138" applyNumberFormat="1" applyFont="1" applyFill="1" applyBorder="1" applyAlignment="1" applyProtection="1">
      <alignment horizontal="right" vertical="center"/>
    </xf>
    <xf numFmtId="0" fontId="34" fillId="0" borderId="0" xfId="138" applyFont="1" applyFill="1" applyBorder="1"/>
    <xf numFmtId="180" fontId="86" fillId="0" borderId="41" xfId="138" applyNumberFormat="1" applyFont="1" applyFill="1" applyBorder="1" applyAlignment="1" applyProtection="1">
      <alignment vertical="center" wrapText="1"/>
    </xf>
    <xf numFmtId="180" fontId="86" fillId="0" borderId="40" xfId="138" applyNumberFormat="1" applyFont="1" applyFill="1" applyBorder="1" applyAlignment="1" applyProtection="1">
      <alignment vertical="center" wrapText="1"/>
    </xf>
    <xf numFmtId="49" fontId="86" fillId="0" borderId="41" xfId="138" applyNumberFormat="1" applyFont="1" applyFill="1" applyBorder="1" applyAlignment="1" applyProtection="1">
      <alignment horizontal="center" vertical="center" wrapText="1"/>
    </xf>
    <xf numFmtId="49" fontId="86" fillId="0" borderId="40" xfId="138" applyNumberFormat="1" applyFont="1" applyFill="1" applyBorder="1" applyAlignment="1" applyProtection="1">
      <alignment horizontal="center" vertical="center" wrapText="1"/>
    </xf>
    <xf numFmtId="180" fontId="70" fillId="0" borderId="46" xfId="138" applyNumberFormat="1" applyFont="1" applyFill="1" applyBorder="1" applyAlignment="1" applyProtection="1">
      <alignment horizontal="right" vertical="center"/>
    </xf>
    <xf numFmtId="180" fontId="70" fillId="0" borderId="47" xfId="138" applyNumberFormat="1" applyFont="1" applyFill="1" applyBorder="1" applyAlignment="1" applyProtection="1">
      <alignment horizontal="right" vertical="center"/>
    </xf>
    <xf numFmtId="180" fontId="70" fillId="0" borderId="38" xfId="138" applyNumberFormat="1" applyFont="1" applyFill="1" applyBorder="1" applyAlignment="1" applyProtection="1">
      <alignment horizontal="right" vertical="center"/>
    </xf>
    <xf numFmtId="0" fontId="70" fillId="0" borderId="65" xfId="138" applyNumberFormat="1" applyFont="1" applyFill="1" applyBorder="1" applyAlignment="1" applyProtection="1">
      <alignment vertical="center"/>
    </xf>
    <xf numFmtId="0" fontId="70" fillId="0" borderId="47" xfId="138" applyNumberFormat="1" applyFont="1" applyFill="1" applyBorder="1" applyAlignment="1" applyProtection="1">
      <alignment horizontal="center" vertical="center"/>
    </xf>
    <xf numFmtId="180" fontId="70" fillId="0" borderId="54" xfId="138" applyNumberFormat="1" applyFont="1" applyFill="1" applyBorder="1" applyAlignment="1" applyProtection="1">
      <alignment horizontal="right" vertical="center"/>
    </xf>
    <xf numFmtId="0" fontId="70" fillId="0" borderId="66" xfId="138" applyNumberFormat="1" applyFont="1" applyFill="1" applyBorder="1" applyAlignment="1" applyProtection="1">
      <alignment vertical="center"/>
    </xf>
    <xf numFmtId="0" fontId="70" fillId="0" borderId="20" xfId="138" applyNumberFormat="1" applyFont="1" applyFill="1" applyBorder="1" applyAlignment="1" applyProtection="1">
      <alignment horizontal="center" vertical="center"/>
    </xf>
    <xf numFmtId="176" fontId="70" fillId="0" borderId="19" xfId="138" applyNumberFormat="1" applyFont="1" applyFill="1" applyBorder="1" applyAlignment="1" applyProtection="1">
      <alignment horizontal="right" vertical="center"/>
    </xf>
    <xf numFmtId="176" fontId="70" fillId="0" borderId="19" xfId="138" applyNumberFormat="1" applyFont="1" applyFill="1" applyBorder="1" applyAlignment="1" applyProtection="1">
      <alignment horizontal="center" vertical="center"/>
    </xf>
    <xf numFmtId="184" fontId="70" fillId="0" borderId="86" xfId="138" applyNumberFormat="1" applyFont="1" applyFill="1" applyBorder="1" applyAlignment="1" applyProtection="1">
      <alignment horizontal="right" vertical="center"/>
    </xf>
    <xf numFmtId="176" fontId="70" fillId="0" borderId="86" xfId="138" applyNumberFormat="1" applyFont="1" applyFill="1" applyBorder="1" applyAlignment="1" applyProtection="1">
      <alignment horizontal="center" vertical="center"/>
    </xf>
    <xf numFmtId="0" fontId="24" fillId="0" borderId="0" xfId="138" applyFont="1" applyFill="1"/>
    <xf numFmtId="0" fontId="4" fillId="0" borderId="0" xfId="138" applyNumberFormat="1" applyFont="1" applyFill="1" applyBorder="1" applyAlignment="1" applyProtection="1">
      <alignment horizontal="center" vertical="center"/>
    </xf>
    <xf numFmtId="0" fontId="4" fillId="0" borderId="0" xfId="138" applyFont="1" applyFill="1"/>
    <xf numFmtId="0" fontId="4" fillId="0" borderId="0" xfId="138" applyNumberFormat="1" applyFont="1" applyFill="1" applyBorder="1" applyAlignment="1" applyProtection="1">
      <alignment vertical="center"/>
    </xf>
    <xf numFmtId="0" fontId="79" fillId="0" borderId="0" xfId="138" applyNumberFormat="1" applyFont="1" applyFill="1" applyBorder="1" applyAlignment="1" applyProtection="1">
      <alignment horizontal="center" vertical="center"/>
    </xf>
    <xf numFmtId="0" fontId="79" fillId="0" borderId="0" xfId="138" applyNumberFormat="1" applyFont="1" applyFill="1" applyBorder="1" applyAlignment="1" applyProtection="1">
      <alignment vertical="center"/>
    </xf>
    <xf numFmtId="0" fontId="79" fillId="0" borderId="0" xfId="138" applyNumberFormat="1" applyFont="1" applyFill="1" applyBorder="1" applyAlignment="1" applyProtection="1">
      <alignment horizontal="right" vertical="center"/>
    </xf>
    <xf numFmtId="0" fontId="4" fillId="0" borderId="0" xfId="138" applyNumberFormat="1" applyFont="1" applyFill="1" applyBorder="1" applyAlignment="1" applyProtection="1">
      <alignment horizontal="right" vertical="center"/>
    </xf>
    <xf numFmtId="0" fontId="79" fillId="0" borderId="0" xfId="138" applyFont="1" applyFill="1"/>
    <xf numFmtId="0" fontId="80" fillId="0" borderId="0" xfId="138" applyFont="1" applyFill="1"/>
    <xf numFmtId="0" fontId="4" fillId="0" borderId="28" xfId="138" applyNumberFormat="1" applyFont="1" applyFill="1" applyBorder="1" applyAlignment="1" applyProtection="1">
      <alignment horizontal="center" vertical="center"/>
    </xf>
    <xf numFmtId="0" fontId="4" fillId="0" borderId="29" xfId="138" applyNumberFormat="1" applyFont="1" applyFill="1" applyBorder="1" applyAlignment="1" applyProtection="1">
      <alignment horizontal="center" vertical="center"/>
    </xf>
    <xf numFmtId="0" fontId="4" fillId="0" borderId="30" xfId="138" applyNumberFormat="1" applyFont="1" applyFill="1" applyBorder="1" applyAlignment="1" applyProtection="1">
      <alignment horizontal="center" vertical="center"/>
    </xf>
    <xf numFmtId="0" fontId="4" fillId="0" borderId="31" xfId="138" applyNumberFormat="1" applyFont="1" applyFill="1" applyBorder="1" applyAlignment="1" applyProtection="1">
      <alignment horizontal="center" vertical="center"/>
    </xf>
    <xf numFmtId="0" fontId="4" fillId="0" borderId="32" xfId="138" applyNumberFormat="1" applyFont="1" applyFill="1" applyBorder="1" applyAlignment="1" applyProtection="1">
      <alignment horizontal="center" vertical="center"/>
    </xf>
    <xf numFmtId="0" fontId="4" fillId="0" borderId="33" xfId="138" applyNumberFormat="1" applyFont="1" applyFill="1" applyBorder="1" applyAlignment="1" applyProtection="1">
      <alignment vertical="center"/>
    </xf>
    <xf numFmtId="180" fontId="80" fillId="0" borderId="34" xfId="138" applyNumberFormat="1" applyFont="1" applyFill="1" applyBorder="1" applyAlignment="1" applyProtection="1">
      <alignment vertical="center" wrapText="1"/>
    </xf>
    <xf numFmtId="180" fontId="80" fillId="0" borderId="36" xfId="138" applyNumberFormat="1" applyFont="1" applyFill="1" applyBorder="1" applyAlignment="1" applyProtection="1">
      <alignment vertical="center" wrapText="1"/>
    </xf>
    <xf numFmtId="180" fontId="80" fillId="0" borderId="37" xfId="138" applyNumberFormat="1" applyFont="1" applyFill="1" applyBorder="1" applyAlignment="1" applyProtection="1">
      <alignment vertical="center" wrapText="1"/>
    </xf>
    <xf numFmtId="180" fontId="80" fillId="0" borderId="13" xfId="138" applyNumberFormat="1" applyFont="1" applyFill="1" applyBorder="1" applyAlignment="1" applyProtection="1">
      <alignment vertical="center" wrapText="1"/>
    </xf>
    <xf numFmtId="0" fontId="79" fillId="0" borderId="38" xfId="138" applyNumberFormat="1" applyFont="1" applyFill="1" applyBorder="1" applyAlignment="1" applyProtection="1">
      <alignment vertical="center"/>
    </xf>
    <xf numFmtId="0" fontId="4" fillId="0" borderId="38" xfId="138" applyNumberFormat="1" applyFont="1" applyFill="1" applyBorder="1" applyAlignment="1" applyProtection="1">
      <alignment vertical="center"/>
    </xf>
    <xf numFmtId="0" fontId="4" fillId="0" borderId="27" xfId="138" applyNumberFormat="1" applyFont="1" applyFill="1" applyBorder="1" applyAlignment="1" applyProtection="1">
      <alignment vertical="center"/>
    </xf>
    <xf numFmtId="180" fontId="80" fillId="0" borderId="28" xfId="138" applyNumberFormat="1" applyFont="1" applyFill="1" applyBorder="1" applyAlignment="1" applyProtection="1">
      <alignment vertical="center" wrapText="1"/>
    </xf>
    <xf numFmtId="180" fontId="80" fillId="0" borderId="29" xfId="138" applyNumberFormat="1" applyFont="1" applyFill="1" applyBorder="1" applyAlignment="1" applyProtection="1">
      <alignment vertical="center" wrapText="1"/>
    </xf>
    <xf numFmtId="180" fontId="80" fillId="0" borderId="30" xfId="138" applyNumberFormat="1" applyFont="1" applyFill="1" applyBorder="1" applyAlignment="1" applyProtection="1">
      <alignment vertical="center" wrapText="1"/>
    </xf>
    <xf numFmtId="180" fontId="80" fillId="0" borderId="31" xfId="138" applyNumberFormat="1" applyFont="1" applyFill="1" applyBorder="1" applyAlignment="1" applyProtection="1">
      <alignment vertical="center" wrapText="1"/>
    </xf>
    <xf numFmtId="180" fontId="80" fillId="0" borderId="32" xfId="138" applyNumberFormat="1" applyFont="1" applyFill="1" applyBorder="1" applyAlignment="1" applyProtection="1">
      <alignment vertical="center" wrapText="1"/>
    </xf>
    <xf numFmtId="0" fontId="24" fillId="0" borderId="0" xfId="138" applyFill="1"/>
    <xf numFmtId="0" fontId="70" fillId="0" borderId="0" xfId="138" applyNumberFormat="1" applyFont="1" applyFill="1" applyBorder="1" applyAlignment="1" applyProtection="1">
      <alignment vertical="center"/>
    </xf>
    <xf numFmtId="0" fontId="70" fillId="0" borderId="0" xfId="138" applyNumberFormat="1" applyFont="1" applyFill="1" applyBorder="1" applyAlignment="1" applyProtection="1">
      <alignment horizontal="left" vertical="center"/>
    </xf>
    <xf numFmtId="0" fontId="70" fillId="0" borderId="0" xfId="138" applyNumberFormat="1" applyFont="1" applyFill="1" applyBorder="1" applyAlignment="1" applyProtection="1">
      <alignment horizontal="right" vertical="center"/>
    </xf>
    <xf numFmtId="0" fontId="70" fillId="0" borderId="0" xfId="138" applyNumberFormat="1" applyFont="1" applyFill="1" applyBorder="1" applyAlignment="1" applyProtection="1">
      <alignment horizontal="center" vertical="center"/>
    </xf>
    <xf numFmtId="0" fontId="70" fillId="0" borderId="44" xfId="138" applyNumberFormat="1" applyFont="1" applyFill="1" applyBorder="1" applyAlignment="1" applyProtection="1">
      <alignment horizontal="center" vertical="center"/>
    </xf>
    <xf numFmtId="0" fontId="70" fillId="0" borderId="46" xfId="138" applyNumberFormat="1" applyFont="1" applyFill="1" applyBorder="1" applyAlignment="1" applyProtection="1">
      <alignment vertical="center"/>
    </xf>
    <xf numFmtId="0" fontId="70" fillId="0" borderId="39" xfId="138" applyNumberFormat="1" applyFont="1" applyFill="1" applyBorder="1" applyAlignment="1" applyProtection="1">
      <alignment horizontal="center" vertical="center"/>
    </xf>
    <xf numFmtId="0" fontId="70" fillId="0" borderId="48" xfId="138" applyNumberFormat="1" applyFont="1" applyFill="1" applyBorder="1" applyAlignment="1" applyProtection="1">
      <alignment vertical="center"/>
    </xf>
    <xf numFmtId="0" fontId="70" fillId="0" borderId="49" xfId="138" applyNumberFormat="1" applyFont="1" applyFill="1" applyBorder="1" applyAlignment="1" applyProtection="1">
      <alignment vertical="center"/>
    </xf>
    <xf numFmtId="180" fontId="70" fillId="0" borderId="44" xfId="138" applyNumberFormat="1" applyFont="1" applyFill="1" applyBorder="1" applyAlignment="1" applyProtection="1">
      <alignment vertical="center"/>
    </xf>
    <xf numFmtId="0" fontId="81" fillId="0" borderId="0" xfId="138" applyNumberFormat="1" applyFont="1" applyFill="1" applyBorder="1" applyAlignment="1" applyProtection="1">
      <alignment horizontal="center" vertical="center"/>
    </xf>
    <xf numFmtId="0" fontId="70" fillId="0" borderId="52" xfId="138" applyNumberFormat="1" applyFont="1" applyFill="1" applyBorder="1" applyAlignment="1" applyProtection="1">
      <alignment vertical="center"/>
    </xf>
    <xf numFmtId="0" fontId="70" fillId="0" borderId="47" xfId="138" applyNumberFormat="1" applyFont="1" applyFill="1" applyBorder="1" applyAlignment="1" applyProtection="1">
      <alignment horizontal="left" vertical="center"/>
    </xf>
    <xf numFmtId="182" fontId="70" fillId="0" borderId="41" xfId="138" applyNumberFormat="1" applyFont="1" applyFill="1" applyBorder="1" applyAlignment="1" applyProtection="1">
      <alignment horizontal="center" vertical="center"/>
    </xf>
    <xf numFmtId="181" fontId="70" fillId="0" borderId="40" xfId="138" applyNumberFormat="1" applyFont="1" applyFill="1" applyBorder="1" applyAlignment="1" applyProtection="1">
      <alignment horizontal="right" vertical="center"/>
    </xf>
    <xf numFmtId="180" fontId="70" fillId="0" borderId="50" xfId="138" applyNumberFormat="1" applyFont="1" applyFill="1" applyBorder="1" applyAlignment="1" applyProtection="1">
      <alignment horizontal="right" vertical="center"/>
    </xf>
    <xf numFmtId="180" fontId="70" fillId="0" borderId="51" xfId="138" applyNumberFormat="1" applyFont="1" applyFill="1" applyBorder="1" applyAlignment="1" applyProtection="1">
      <alignment horizontal="right" vertical="center"/>
    </xf>
    <xf numFmtId="180" fontId="70" fillId="0" borderId="44" xfId="138" applyNumberFormat="1" applyFont="1" applyFill="1" applyBorder="1" applyAlignment="1" applyProtection="1">
      <alignment horizontal="right" vertical="center"/>
    </xf>
    <xf numFmtId="0" fontId="82" fillId="0" borderId="0" xfId="138" applyNumberFormat="1" applyFont="1" applyFill="1" applyBorder="1" applyAlignment="1" applyProtection="1">
      <alignment vertical="center"/>
    </xf>
    <xf numFmtId="0" fontId="82" fillId="0" borderId="0" xfId="138" applyNumberFormat="1" applyFont="1" applyFill="1" applyBorder="1" applyAlignment="1" applyProtection="1">
      <alignment horizontal="center" vertical="center"/>
    </xf>
    <xf numFmtId="0" fontId="82" fillId="0" borderId="0" xfId="138" applyNumberFormat="1" applyFont="1" applyFill="1" applyBorder="1" applyAlignment="1" applyProtection="1">
      <alignment horizontal="right" vertical="center"/>
    </xf>
    <xf numFmtId="0" fontId="70" fillId="0" borderId="30" xfId="138" applyNumberFormat="1" applyFont="1" applyFill="1" applyBorder="1" applyAlignment="1" applyProtection="1">
      <alignment horizontal="center" vertical="center" wrapText="1"/>
    </xf>
    <xf numFmtId="0" fontId="84" fillId="0" borderId="47" xfId="138" applyNumberFormat="1" applyFont="1" applyFill="1" applyBorder="1" applyAlignment="1" applyProtection="1">
      <alignment vertical="center"/>
    </xf>
    <xf numFmtId="180" fontId="83" fillId="0" borderId="51" xfId="138" applyNumberFormat="1" applyFont="1" applyFill="1" applyBorder="1" applyAlignment="1" applyProtection="1">
      <alignment vertical="center" wrapText="1"/>
    </xf>
    <xf numFmtId="180" fontId="83" fillId="0" borderId="44" xfId="138" applyNumberFormat="1" applyFont="1" applyFill="1" applyBorder="1" applyAlignment="1" applyProtection="1">
      <alignment vertical="center" wrapText="1"/>
    </xf>
    <xf numFmtId="0" fontId="70" fillId="0" borderId="0" xfId="138" applyNumberFormat="1" applyFont="1" applyFill="1" applyBorder="1" applyAlignment="1" applyProtection="1">
      <alignment horizontal="right" vertical="center" wrapText="1"/>
    </xf>
    <xf numFmtId="0" fontId="70" fillId="0" borderId="55" xfId="138" applyNumberFormat="1" applyFont="1" applyFill="1" applyBorder="1" applyAlignment="1" applyProtection="1">
      <alignment horizontal="center" vertical="center" wrapText="1"/>
    </xf>
    <xf numFmtId="0" fontId="70" fillId="0" borderId="44" xfId="138" applyNumberFormat="1" applyFont="1" applyFill="1" applyBorder="1" applyAlignment="1" applyProtection="1">
      <alignment horizontal="center" vertical="center" wrapText="1"/>
    </xf>
    <xf numFmtId="180" fontId="70" fillId="0" borderId="58" xfId="138" applyNumberFormat="1" applyFont="1" applyFill="1" applyBorder="1" applyAlignment="1" applyProtection="1">
      <alignment horizontal="right" vertical="center"/>
    </xf>
    <xf numFmtId="0" fontId="70" fillId="0" borderId="39" xfId="138" applyNumberFormat="1" applyFont="1" applyFill="1" applyBorder="1" applyAlignment="1" applyProtection="1">
      <alignment horizontal="left" vertical="center"/>
    </xf>
    <xf numFmtId="180" fontId="4" fillId="0" borderId="19" xfId="138" applyNumberFormat="1" applyFont="1" applyFill="1" applyBorder="1" applyAlignment="1" applyProtection="1">
      <alignment horizontal="right" vertical="center"/>
    </xf>
    <xf numFmtId="0" fontId="70" fillId="0" borderId="43" xfId="138" applyNumberFormat="1" applyFont="1" applyFill="1" applyBorder="1" applyAlignment="1" applyProtection="1">
      <alignment horizontal="center" vertical="center" wrapText="1"/>
    </xf>
    <xf numFmtId="0" fontId="70" fillId="0" borderId="45" xfId="138" applyNumberFormat="1" applyFont="1" applyFill="1" applyBorder="1" applyAlignment="1" applyProtection="1">
      <alignment horizontal="center" vertical="center" wrapText="1"/>
    </xf>
    <xf numFmtId="183" fontId="24" fillId="0" borderId="0" xfId="138" applyNumberFormat="1" applyFill="1"/>
    <xf numFmtId="0" fontId="85" fillId="0" borderId="0" xfId="138" applyNumberFormat="1" applyFont="1" applyFill="1" applyBorder="1" applyAlignment="1" applyProtection="1">
      <alignment horizontal="center" vertical="center"/>
    </xf>
    <xf numFmtId="180" fontId="70" fillId="0" borderId="60" xfId="138" applyNumberFormat="1" applyFont="1" applyFill="1" applyBorder="1" applyAlignment="1" applyProtection="1">
      <alignment vertical="center"/>
    </xf>
    <xf numFmtId="180" fontId="70" fillId="0" borderId="61" xfId="138" applyNumberFormat="1" applyFont="1" applyFill="1" applyBorder="1" applyAlignment="1" applyProtection="1">
      <alignment vertical="center"/>
    </xf>
    <xf numFmtId="0" fontId="71" fillId="0" borderId="62" xfId="138" applyNumberFormat="1" applyFont="1" applyFill="1" applyBorder="1" applyAlignment="1" applyProtection="1">
      <alignment horizontal="center" vertical="center"/>
    </xf>
    <xf numFmtId="0" fontId="71" fillId="0" borderId="45" xfId="138" applyNumberFormat="1" applyFont="1" applyFill="1" applyBorder="1" applyAlignment="1" applyProtection="1">
      <alignment horizontal="center" vertical="center" wrapText="1"/>
    </xf>
    <xf numFmtId="0" fontId="71" fillId="0" borderId="51" xfId="138" applyNumberFormat="1" applyFont="1" applyFill="1" applyBorder="1" applyAlignment="1" applyProtection="1">
      <alignment horizontal="center" vertical="center" wrapText="1"/>
    </xf>
    <xf numFmtId="0" fontId="71" fillId="0" borderId="51" xfId="138" applyNumberFormat="1" applyFont="1" applyFill="1" applyBorder="1" applyAlignment="1" applyProtection="1">
      <alignment horizontal="center" vertical="center"/>
    </xf>
    <xf numFmtId="0" fontId="23" fillId="0" borderId="51" xfId="138" applyNumberFormat="1" applyFont="1" applyFill="1" applyBorder="1" applyAlignment="1" applyProtection="1">
      <alignment horizontal="center" vertical="center" wrapText="1"/>
    </xf>
    <xf numFmtId="0" fontId="23" fillId="0" borderId="44" xfId="138" applyNumberFormat="1" applyFont="1" applyFill="1" applyBorder="1" applyAlignment="1" applyProtection="1">
      <alignment horizontal="center" vertical="center" wrapText="1"/>
    </xf>
    <xf numFmtId="0" fontId="71" fillId="0" borderId="21" xfId="138" applyNumberFormat="1" applyFont="1" applyFill="1" applyBorder="1" applyAlignment="1" applyProtection="1">
      <alignment vertical="center"/>
    </xf>
    <xf numFmtId="182" fontId="82" fillId="0" borderId="21" xfId="138" applyNumberFormat="1" applyFont="1" applyFill="1" applyBorder="1" applyAlignment="1" applyProtection="1">
      <alignment horizontal="center" vertical="center" wrapText="1"/>
    </xf>
    <xf numFmtId="182" fontId="82" fillId="0" borderId="22" xfId="138" applyNumberFormat="1" applyFont="1" applyFill="1" applyBorder="1" applyAlignment="1" applyProtection="1">
      <alignment horizontal="center" vertical="center" wrapText="1"/>
    </xf>
    <xf numFmtId="182" fontId="82" fillId="0" borderId="24" xfId="138" applyNumberFormat="1" applyFont="1" applyFill="1" applyBorder="1" applyAlignment="1" applyProtection="1">
      <alignment horizontal="center" vertical="center" wrapText="1"/>
    </xf>
    <xf numFmtId="0" fontId="82" fillId="0" borderId="24" xfId="138" applyNumberFormat="1" applyFont="1" applyFill="1" applyBorder="1" applyAlignment="1" applyProtection="1">
      <alignment horizontal="center" vertical="center" wrapText="1"/>
    </xf>
    <xf numFmtId="182" fontId="82" fillId="0" borderId="23" xfId="138" applyNumberFormat="1" applyFont="1" applyFill="1" applyBorder="1" applyAlignment="1" applyProtection="1">
      <alignment horizontal="center" vertical="center" wrapText="1"/>
    </xf>
    <xf numFmtId="0" fontId="83" fillId="0" borderId="38" xfId="138" applyNumberFormat="1" applyFont="1" applyFill="1" applyBorder="1" applyAlignment="1" applyProtection="1">
      <alignment vertical="center"/>
    </xf>
    <xf numFmtId="180" fontId="83" fillId="0" borderId="38" xfId="138" applyNumberFormat="1" applyFont="1" applyFill="1" applyBorder="1" applyAlignment="1" applyProtection="1">
      <alignment horizontal="right" vertical="center" wrapText="1"/>
    </xf>
    <xf numFmtId="0" fontId="83" fillId="0" borderId="27" xfId="138" applyNumberFormat="1" applyFont="1" applyFill="1" applyBorder="1" applyAlignment="1" applyProtection="1">
      <alignment vertical="center"/>
    </xf>
    <xf numFmtId="180" fontId="83" fillId="0" borderId="27" xfId="138" applyNumberFormat="1" applyFont="1" applyFill="1" applyBorder="1" applyAlignment="1" applyProtection="1">
      <alignment horizontal="right" vertical="center" wrapText="1"/>
    </xf>
    <xf numFmtId="180" fontId="83" fillId="0" borderId="28" xfId="138" applyNumberFormat="1" applyFont="1" applyFill="1" applyBorder="1" applyAlignment="1" applyProtection="1">
      <alignment horizontal="right" vertical="center" wrapText="1"/>
    </xf>
    <xf numFmtId="180" fontId="83" fillId="0" borderId="30" xfId="138" applyNumberFormat="1" applyFont="1" applyFill="1" applyBorder="1" applyAlignment="1" applyProtection="1">
      <alignment horizontal="right" vertical="center" wrapText="1"/>
    </xf>
    <xf numFmtId="180" fontId="83" fillId="0" borderId="29" xfId="138" applyNumberFormat="1" applyFont="1" applyFill="1" applyBorder="1" applyAlignment="1" applyProtection="1">
      <alignment horizontal="right" vertical="center" wrapText="1"/>
    </xf>
    <xf numFmtId="0" fontId="71" fillId="0" borderId="33" xfId="138" applyNumberFormat="1" applyFont="1" applyFill="1" applyBorder="1" applyAlignment="1" applyProtection="1">
      <alignment vertical="center"/>
    </xf>
    <xf numFmtId="182" fontId="82" fillId="0" borderId="33" xfId="138" applyNumberFormat="1" applyFont="1" applyFill="1" applyBorder="1" applyAlignment="1" applyProtection="1">
      <alignment horizontal="center" vertical="center" wrapText="1"/>
    </xf>
    <xf numFmtId="182" fontId="82" fillId="0" borderId="34" xfId="138" applyNumberFormat="1" applyFont="1" applyFill="1" applyBorder="1" applyAlignment="1" applyProtection="1">
      <alignment horizontal="center" vertical="center" wrapText="1"/>
    </xf>
    <xf numFmtId="182" fontId="82" fillId="0" borderId="36" xfId="138" applyNumberFormat="1" applyFont="1" applyFill="1" applyBorder="1" applyAlignment="1" applyProtection="1">
      <alignment horizontal="center" vertical="center" wrapText="1"/>
    </xf>
    <xf numFmtId="182" fontId="82" fillId="0" borderId="35" xfId="138" applyNumberFormat="1" applyFont="1" applyFill="1" applyBorder="1" applyAlignment="1" applyProtection="1">
      <alignment horizontal="center" vertical="center" wrapText="1"/>
    </xf>
    <xf numFmtId="0" fontId="71" fillId="0" borderId="63" xfId="138" applyNumberFormat="1" applyFont="1" applyFill="1" applyBorder="1" applyAlignment="1" applyProtection="1">
      <alignment horizontal="center" vertical="center"/>
    </xf>
    <xf numFmtId="0" fontId="71" fillId="0" borderId="64" xfId="138" applyNumberFormat="1" applyFont="1" applyFill="1" applyBorder="1" applyAlignment="1" applyProtection="1">
      <alignment vertical="center"/>
    </xf>
    <xf numFmtId="180" fontId="83" fillId="0" borderId="33" xfId="138" applyNumberFormat="1" applyFont="1" applyFill="1" applyBorder="1" applyAlignment="1" applyProtection="1">
      <alignment vertical="center" wrapText="1"/>
    </xf>
    <xf numFmtId="0" fontId="71" fillId="0" borderId="65" xfId="138" applyNumberFormat="1" applyFont="1" applyFill="1" applyBorder="1" applyAlignment="1" applyProtection="1">
      <alignment vertical="center"/>
    </xf>
    <xf numFmtId="180" fontId="83" fillId="0" borderId="38" xfId="138" applyNumberFormat="1" applyFont="1" applyFill="1" applyBorder="1" applyAlignment="1" applyProtection="1">
      <alignment vertical="center" wrapText="1"/>
    </xf>
    <xf numFmtId="0" fontId="83" fillId="0" borderId="65" xfId="138" applyNumberFormat="1" applyFont="1" applyFill="1" applyBorder="1" applyAlignment="1" applyProtection="1">
      <alignment vertical="center"/>
    </xf>
    <xf numFmtId="0" fontId="71" fillId="0" borderId="66" xfId="138" applyNumberFormat="1" applyFont="1" applyFill="1" applyBorder="1" applyAlignment="1" applyProtection="1">
      <alignment vertical="center"/>
    </xf>
    <xf numFmtId="180" fontId="83" fillId="0" borderId="27" xfId="138" applyNumberFormat="1" applyFont="1" applyFill="1" applyBorder="1" applyAlignment="1" applyProtection="1">
      <alignment vertical="center" wrapText="1"/>
    </xf>
    <xf numFmtId="180" fontId="83" fillId="0" borderId="28" xfId="138" applyNumberFormat="1" applyFont="1" applyFill="1" applyBorder="1" applyAlignment="1" applyProtection="1">
      <alignment vertical="center" wrapText="1"/>
    </xf>
    <xf numFmtId="180" fontId="83" fillId="0" borderId="30" xfId="138" applyNumberFormat="1" applyFont="1" applyFill="1" applyBorder="1" applyAlignment="1" applyProtection="1">
      <alignment vertical="center" wrapText="1"/>
    </xf>
    <xf numFmtId="180" fontId="83" fillId="0" borderId="29" xfId="138" applyNumberFormat="1" applyFont="1" applyFill="1" applyBorder="1" applyAlignment="1" applyProtection="1">
      <alignment vertical="center" wrapText="1"/>
    </xf>
    <xf numFmtId="0" fontId="24" fillId="0" borderId="0" xfId="138" applyFill="1" applyBorder="1"/>
    <xf numFmtId="0" fontId="34" fillId="0" borderId="63" xfId="138" applyNumberFormat="1" applyFont="1" applyFill="1" applyBorder="1" applyAlignment="1" applyProtection="1">
      <alignment horizontal="center" vertical="center" wrapText="1"/>
    </xf>
    <xf numFmtId="0" fontId="34" fillId="0" borderId="62" xfId="138" applyNumberFormat="1" applyFont="1" applyFill="1" applyBorder="1" applyAlignment="1" applyProtection="1">
      <alignment horizontal="center" vertical="center" wrapText="1"/>
    </xf>
    <xf numFmtId="0" fontId="34" fillId="0" borderId="43" xfId="138" applyNumberFormat="1" applyFont="1" applyFill="1" applyBorder="1" applyAlignment="1" applyProtection="1">
      <alignment horizontal="center" vertical="center" wrapText="1"/>
    </xf>
    <xf numFmtId="0" fontId="34" fillId="0" borderId="44" xfId="138" applyNumberFormat="1" applyFont="1" applyFill="1" applyBorder="1" applyAlignment="1" applyProtection="1">
      <alignment horizontal="center" vertical="center" wrapText="1"/>
    </xf>
    <xf numFmtId="0" fontId="34" fillId="0" borderId="51" xfId="138" applyNumberFormat="1" applyFont="1" applyFill="1" applyBorder="1" applyAlignment="1" applyProtection="1">
      <alignment horizontal="center" vertical="center" wrapText="1"/>
    </xf>
    <xf numFmtId="0" fontId="34" fillId="0" borderId="67" xfId="138" applyNumberFormat="1" applyFont="1" applyFill="1" applyBorder="1" applyAlignment="1" applyProtection="1">
      <alignment horizontal="center" vertical="center"/>
    </xf>
    <xf numFmtId="180" fontId="87" fillId="0" borderId="21" xfId="138" applyNumberFormat="1" applyFont="1" applyFill="1" applyBorder="1" applyAlignment="1" applyProtection="1">
      <alignment vertical="center" wrapText="1"/>
    </xf>
    <xf numFmtId="180" fontId="87" fillId="0" borderId="46" xfId="138" applyNumberFormat="1" applyFont="1" applyFill="1" applyBorder="1" applyAlignment="1" applyProtection="1">
      <alignment vertical="center" wrapText="1"/>
    </xf>
    <xf numFmtId="180" fontId="87" fillId="0" borderId="23" xfId="138" applyNumberFormat="1" applyFont="1" applyFill="1" applyBorder="1" applyAlignment="1" applyProtection="1">
      <alignment vertical="center" wrapText="1"/>
    </xf>
    <xf numFmtId="180" fontId="87" fillId="0" borderId="24" xfId="138" applyNumberFormat="1" applyFont="1" applyFill="1" applyBorder="1" applyAlignment="1" applyProtection="1">
      <alignment vertical="center" wrapText="1"/>
    </xf>
    <xf numFmtId="0" fontId="34" fillId="0" borderId="65" xfId="138" applyNumberFormat="1" applyFont="1" applyFill="1" applyBorder="1" applyAlignment="1" applyProtection="1">
      <alignment vertical="center"/>
    </xf>
    <xf numFmtId="180" fontId="87" fillId="0" borderId="38" xfId="138" applyNumberFormat="1" applyFont="1" applyFill="1" applyBorder="1" applyAlignment="1" applyProtection="1">
      <alignment vertical="center" wrapText="1"/>
    </xf>
    <xf numFmtId="180" fontId="88" fillId="0" borderId="38" xfId="138" applyNumberFormat="1" applyFont="1" applyFill="1" applyBorder="1" applyAlignment="1" applyProtection="1">
      <alignment vertical="center" wrapText="1"/>
    </xf>
    <xf numFmtId="0" fontId="34" fillId="0" borderId="66" xfId="138" applyNumberFormat="1" applyFont="1" applyFill="1" applyBorder="1" applyAlignment="1" applyProtection="1">
      <alignment vertical="center"/>
    </xf>
    <xf numFmtId="180" fontId="87" fillId="0" borderId="27" xfId="138" applyNumberFormat="1" applyFont="1" applyFill="1" applyBorder="1" applyAlignment="1" applyProtection="1">
      <alignment vertical="center" wrapText="1"/>
    </xf>
    <xf numFmtId="180" fontId="87" fillId="0" borderId="54" xfId="138" applyNumberFormat="1" applyFont="1" applyFill="1" applyBorder="1" applyAlignment="1" applyProtection="1">
      <alignment vertical="center" wrapText="1"/>
    </xf>
    <xf numFmtId="180" fontId="87" fillId="0" borderId="29" xfId="138" applyNumberFormat="1" applyFont="1" applyFill="1" applyBorder="1" applyAlignment="1" applyProtection="1">
      <alignment vertical="center" wrapText="1"/>
    </xf>
    <xf numFmtId="180" fontId="87" fillId="0" borderId="30" xfId="138" applyNumberFormat="1" applyFont="1" applyFill="1" applyBorder="1" applyAlignment="1" applyProtection="1">
      <alignment vertical="center" wrapText="1"/>
    </xf>
    <xf numFmtId="0" fontId="70" fillId="0" borderId="0" xfId="138" applyNumberFormat="1" applyFont="1" applyFill="1" applyBorder="1" applyAlignment="1" applyProtection="1">
      <alignment horizontal="center" vertical="center" wrapText="1"/>
    </xf>
    <xf numFmtId="0" fontId="70" fillId="0" borderId="0" xfId="138" applyNumberFormat="1" applyFont="1" applyFill="1" applyBorder="1" applyAlignment="1" applyProtection="1">
      <alignment vertical="center" wrapText="1"/>
    </xf>
    <xf numFmtId="0" fontId="70" fillId="0" borderId="51" xfId="138" applyNumberFormat="1" applyFont="1" applyFill="1" applyBorder="1" applyAlignment="1" applyProtection="1">
      <alignment horizontal="center" vertical="center" wrapText="1"/>
    </xf>
    <xf numFmtId="0" fontId="70" fillId="0" borderId="68" xfId="138" applyNumberFormat="1" applyFont="1" applyFill="1" applyBorder="1" applyAlignment="1" applyProtection="1">
      <alignment horizontal="center" vertical="center" wrapText="1"/>
    </xf>
    <xf numFmtId="0" fontId="70" fillId="0" borderId="69" xfId="138" applyNumberFormat="1" applyFont="1" applyFill="1" applyBorder="1" applyAlignment="1" applyProtection="1">
      <alignment horizontal="center" vertical="center" wrapText="1"/>
    </xf>
    <xf numFmtId="0" fontId="70" fillId="0" borderId="70" xfId="138" applyNumberFormat="1" applyFont="1" applyFill="1" applyBorder="1" applyAlignment="1" applyProtection="1">
      <alignment horizontal="center" vertical="center" wrapText="1"/>
    </xf>
    <xf numFmtId="0" fontId="4" fillId="0" borderId="0" xfId="138" applyFont="1" applyFill="1" applyAlignment="1">
      <alignment vertical="center"/>
    </xf>
    <xf numFmtId="0" fontId="72" fillId="0" borderId="71" xfId="138" applyNumberFormat="1" applyFont="1" applyFill="1" applyBorder="1" applyAlignment="1" applyProtection="1">
      <alignment horizontal="left" vertical="center" wrapText="1"/>
    </xf>
    <xf numFmtId="0" fontId="72" fillId="0" borderId="24" xfId="138" applyNumberFormat="1" applyFont="1" applyFill="1" applyBorder="1" applyAlignment="1" applyProtection="1">
      <alignment horizontal="center" vertical="center"/>
    </xf>
    <xf numFmtId="0" fontId="72" fillId="0" borderId="71" xfId="138" applyNumberFormat="1" applyFont="1" applyFill="1" applyBorder="1" applyAlignment="1" applyProtection="1">
      <alignment horizontal="left" vertical="center"/>
    </xf>
    <xf numFmtId="0" fontId="72" fillId="0" borderId="26" xfId="138" applyNumberFormat="1" applyFont="1" applyFill="1" applyBorder="1" applyAlignment="1" applyProtection="1">
      <alignment horizontal="center" vertical="center"/>
    </xf>
    <xf numFmtId="0" fontId="72" fillId="0" borderId="72" xfId="138" applyNumberFormat="1" applyFont="1" applyFill="1" applyBorder="1" applyAlignment="1" applyProtection="1">
      <alignment horizontal="center" vertical="center"/>
    </xf>
    <xf numFmtId="0" fontId="72" fillId="0" borderId="52" xfId="138" applyNumberFormat="1" applyFont="1" applyFill="1" applyBorder="1" applyAlignment="1" applyProtection="1">
      <alignment horizontal="left" vertical="center" wrapText="1"/>
    </xf>
    <xf numFmtId="0" fontId="72" fillId="0" borderId="36" xfId="138" applyNumberFormat="1" applyFont="1" applyFill="1" applyBorder="1" applyAlignment="1" applyProtection="1">
      <alignment horizontal="center" vertical="center" wrapText="1"/>
    </xf>
    <xf numFmtId="184" fontId="72" fillId="0" borderId="37" xfId="138" applyNumberFormat="1" applyFont="1" applyFill="1" applyBorder="1" applyAlignment="1" applyProtection="1">
      <alignment horizontal="right" vertical="center" wrapText="1"/>
    </xf>
    <xf numFmtId="0" fontId="72" fillId="0" borderId="11" xfId="138" applyNumberFormat="1" applyFont="1" applyFill="1" applyBorder="1" applyAlignment="1" applyProtection="1">
      <alignment horizontal="center" vertical="center"/>
    </xf>
    <xf numFmtId="0" fontId="72" fillId="0" borderId="47" xfId="138" applyNumberFormat="1" applyFont="1" applyFill="1" applyBorder="1" applyAlignment="1" applyProtection="1">
      <alignment horizontal="left" vertical="center" wrapText="1"/>
    </xf>
    <xf numFmtId="0" fontId="72" fillId="0" borderId="41" xfId="138" applyNumberFormat="1" applyFont="1" applyFill="1" applyBorder="1" applyAlignment="1" applyProtection="1">
      <alignment horizontal="center" vertical="center" wrapText="1"/>
    </xf>
    <xf numFmtId="0" fontId="72" fillId="0" borderId="73" xfId="138" applyNumberFormat="1" applyFont="1" applyFill="1" applyBorder="1" applyAlignment="1" applyProtection="1">
      <alignment vertical="center"/>
    </xf>
    <xf numFmtId="0" fontId="72" fillId="0" borderId="41" xfId="138" applyNumberFormat="1" applyFont="1" applyFill="1" applyBorder="1" applyAlignment="1" applyProtection="1">
      <alignment horizontal="center" vertical="center"/>
    </xf>
    <xf numFmtId="0" fontId="72" fillId="0" borderId="47" xfId="138" applyNumberFormat="1" applyFont="1" applyFill="1" applyBorder="1" applyAlignment="1" applyProtection="1">
      <alignment vertical="center" wrapText="1"/>
    </xf>
    <xf numFmtId="0" fontId="4" fillId="0" borderId="0" xfId="138" applyFont="1" applyFill="1" applyAlignment="1">
      <alignment vertical="center" wrapText="1"/>
    </xf>
    <xf numFmtId="0" fontId="72" fillId="0" borderId="73" xfId="138" applyNumberFormat="1" applyFont="1" applyFill="1" applyBorder="1" applyAlignment="1" applyProtection="1">
      <alignment vertical="center" wrapText="1"/>
    </xf>
    <xf numFmtId="0" fontId="72" fillId="0" borderId="74" xfId="138" applyNumberFormat="1" applyFont="1" applyFill="1" applyBorder="1" applyAlignment="1" applyProtection="1">
      <alignment horizontal="left" vertical="center" wrapText="1"/>
    </xf>
    <xf numFmtId="0" fontId="72" fillId="0" borderId="75" xfId="138" applyNumberFormat="1" applyFont="1" applyFill="1" applyBorder="1" applyAlignment="1" applyProtection="1">
      <alignment horizontal="center" vertical="center" wrapText="1"/>
    </xf>
    <xf numFmtId="0" fontId="72" fillId="0" borderId="77" xfId="138" applyNumberFormat="1" applyFont="1" applyFill="1" applyBorder="1" applyAlignment="1" applyProtection="1">
      <alignment vertical="center" wrapText="1"/>
    </xf>
    <xf numFmtId="0" fontId="72" fillId="0" borderId="78" xfId="138" applyNumberFormat="1" applyFont="1" applyFill="1" applyBorder="1" applyAlignment="1" applyProtection="1">
      <alignment horizontal="center" vertical="center"/>
    </xf>
    <xf numFmtId="0" fontId="72" fillId="0" borderId="80" xfId="138" applyNumberFormat="1" applyFont="1" applyFill="1" applyBorder="1" applyAlignment="1" applyProtection="1">
      <alignment vertical="center" wrapText="1"/>
    </xf>
    <xf numFmtId="0" fontId="72" fillId="0" borderId="53" xfId="138" applyNumberFormat="1" applyFont="1" applyFill="1" applyBorder="1" applyAlignment="1" applyProtection="1">
      <alignment horizontal="center" vertical="center" wrapText="1"/>
    </xf>
    <xf numFmtId="180" fontId="72" fillId="0" borderId="14" xfId="138" applyNumberFormat="1" applyFont="1" applyFill="1" applyBorder="1" applyAlignment="1" applyProtection="1">
      <alignment horizontal="right" vertical="center" wrapText="1"/>
    </xf>
    <xf numFmtId="176" fontId="72" fillId="0" borderId="82" xfId="138" applyNumberFormat="1" applyFont="1" applyFill="1" applyBorder="1" applyAlignment="1" applyProtection="1">
      <alignment horizontal="right" vertical="center" wrapText="1"/>
    </xf>
    <xf numFmtId="0" fontId="24" fillId="0" borderId="11" xfId="138" applyFont="1" applyFill="1" applyBorder="1" applyAlignment="1">
      <alignment horizontal="center" vertical="center"/>
    </xf>
    <xf numFmtId="0" fontId="24" fillId="0" borderId="19" xfId="138" applyFill="1" applyBorder="1" applyAlignment="1">
      <alignment vertical="center"/>
    </xf>
    <xf numFmtId="0" fontId="24" fillId="0" borderId="0" xfId="138" applyFill="1" applyAlignment="1">
      <alignment vertical="center"/>
    </xf>
    <xf numFmtId="185" fontId="24" fillId="0" borderId="19" xfId="138" applyNumberFormat="1" applyFill="1" applyBorder="1" applyAlignment="1">
      <alignment vertical="center"/>
    </xf>
    <xf numFmtId="0" fontId="72" fillId="0" borderId="73" xfId="138" applyNumberFormat="1" applyFont="1" applyFill="1" applyBorder="1" applyAlignment="1" applyProtection="1">
      <alignment horizontal="left" vertical="center"/>
    </xf>
    <xf numFmtId="0" fontId="70" fillId="0" borderId="87" xfId="138" applyNumberFormat="1" applyFont="1" applyFill="1" applyBorder="1" applyAlignment="1" applyProtection="1">
      <alignment horizontal="center" vertical="center" wrapText="1"/>
    </xf>
    <xf numFmtId="0" fontId="70" fillId="0" borderId="88" xfId="138" applyNumberFormat="1" applyFont="1" applyFill="1" applyBorder="1" applyAlignment="1" applyProtection="1">
      <alignment horizontal="center" vertical="center" wrapText="1"/>
    </xf>
    <xf numFmtId="0" fontId="70" fillId="0" borderId="89" xfId="138" applyNumberFormat="1" applyFont="1" applyFill="1" applyBorder="1" applyAlignment="1" applyProtection="1">
      <alignment horizontal="center" vertical="center" wrapText="1"/>
    </xf>
    <xf numFmtId="0" fontId="70" fillId="0" borderId="90" xfId="138" applyNumberFormat="1" applyFont="1" applyFill="1" applyBorder="1" applyAlignment="1" applyProtection="1">
      <alignment horizontal="center" vertical="center" wrapText="1"/>
    </xf>
    <xf numFmtId="0" fontId="70" fillId="0" borderId="71" xfId="138" applyNumberFormat="1" applyFont="1" applyFill="1" applyBorder="1" applyAlignment="1" applyProtection="1">
      <alignment horizontal="left" vertical="center" wrapText="1"/>
    </xf>
    <xf numFmtId="0" fontId="70" fillId="0" borderId="26" xfId="138" applyNumberFormat="1" applyFont="1" applyFill="1" applyBorder="1" applyAlignment="1" applyProtection="1">
      <alignment horizontal="center" vertical="center"/>
    </xf>
    <xf numFmtId="0" fontId="70" fillId="0" borderId="72" xfId="138" applyNumberFormat="1" applyFont="1" applyFill="1" applyBorder="1" applyAlignment="1" applyProtection="1">
      <alignment horizontal="center" vertical="center"/>
    </xf>
    <xf numFmtId="0" fontId="70" fillId="0" borderId="91" xfId="138" applyNumberFormat="1" applyFont="1" applyFill="1" applyBorder="1" applyAlignment="1" applyProtection="1">
      <alignment horizontal="left" vertical="center" wrapText="1"/>
    </xf>
    <xf numFmtId="0" fontId="70" fillId="0" borderId="26" xfId="138" applyNumberFormat="1" applyFont="1" applyFill="1" applyBorder="1" applyAlignment="1" applyProtection="1">
      <alignment horizontal="center" vertical="center" wrapText="1"/>
    </xf>
    <xf numFmtId="0" fontId="70" fillId="0" borderId="73" xfId="138" applyNumberFormat="1" applyFont="1" applyFill="1" applyBorder="1" applyAlignment="1" applyProtection="1">
      <alignment vertical="center"/>
    </xf>
    <xf numFmtId="0" fontId="70" fillId="0" borderId="11" xfId="138" applyNumberFormat="1" applyFont="1" applyFill="1" applyBorder="1" applyAlignment="1" applyProtection="1">
      <alignment horizontal="center" vertical="center"/>
    </xf>
    <xf numFmtId="0" fontId="70" fillId="0" borderId="15" xfId="138" applyNumberFormat="1" applyFont="1" applyFill="1" applyBorder="1" applyAlignment="1" applyProtection="1">
      <alignment vertical="center"/>
    </xf>
    <xf numFmtId="0" fontId="70" fillId="0" borderId="11" xfId="138" applyNumberFormat="1" applyFont="1" applyFill="1" applyBorder="1" applyAlignment="1" applyProtection="1">
      <alignment horizontal="center" vertical="center" wrapText="1"/>
    </xf>
    <xf numFmtId="182" fontId="70" fillId="0" borderId="19" xfId="138" applyNumberFormat="1" applyFont="1" applyFill="1" applyBorder="1" applyAlignment="1" applyProtection="1">
      <alignment horizontal="center" vertical="center"/>
    </xf>
    <xf numFmtId="0" fontId="70" fillId="0" borderId="15" xfId="138" applyNumberFormat="1" applyFont="1" applyFill="1" applyBorder="1" applyAlignment="1" applyProtection="1">
      <alignment horizontal="left" vertical="center" wrapText="1"/>
    </xf>
    <xf numFmtId="0" fontId="70" fillId="0" borderId="19" xfId="138" applyNumberFormat="1" applyFont="1" applyFill="1" applyBorder="1" applyAlignment="1" applyProtection="1">
      <alignment horizontal="center" vertical="center"/>
    </xf>
    <xf numFmtId="0" fontId="70" fillId="0" borderId="73" xfId="138" applyNumberFormat="1" applyFont="1" applyFill="1" applyBorder="1" applyAlignment="1" applyProtection="1">
      <alignment horizontal="left" vertical="center" wrapText="1"/>
    </xf>
    <xf numFmtId="0" fontId="70" fillId="0" borderId="15" xfId="138" applyNumberFormat="1" applyFont="1" applyFill="1" applyBorder="1" applyAlignment="1" applyProtection="1">
      <alignment vertical="center" wrapText="1"/>
    </xf>
    <xf numFmtId="0" fontId="70" fillId="0" borderId="73" xfId="138" applyNumberFormat="1" applyFont="1" applyFill="1" applyBorder="1" applyAlignment="1" applyProtection="1">
      <alignment vertical="center" wrapText="1"/>
    </xf>
    <xf numFmtId="186" fontId="70" fillId="0" borderId="11" xfId="138" applyNumberFormat="1" applyFont="1" applyFill="1" applyBorder="1" applyAlignment="1" applyProtection="1">
      <alignment horizontal="center" vertical="center"/>
    </xf>
    <xf numFmtId="0" fontId="70" fillId="0" borderId="84" xfId="138" applyNumberFormat="1" applyFont="1" applyFill="1" applyBorder="1" applyAlignment="1" applyProtection="1">
      <alignment horizontal="left" vertical="center" wrapText="1"/>
    </xf>
    <xf numFmtId="0" fontId="70" fillId="0" borderId="32" xfId="138" applyNumberFormat="1" applyFont="1" applyFill="1" applyBorder="1" applyAlignment="1" applyProtection="1">
      <alignment horizontal="center" vertical="center" wrapText="1"/>
    </xf>
    <xf numFmtId="0" fontId="70" fillId="0" borderId="92" xfId="138" applyNumberFormat="1" applyFont="1" applyFill="1" applyBorder="1" applyAlignment="1" applyProtection="1">
      <alignment vertical="center"/>
    </xf>
    <xf numFmtId="0" fontId="70" fillId="0" borderId="32" xfId="138" applyNumberFormat="1" applyFont="1" applyFill="1" applyBorder="1" applyAlignment="1" applyProtection="1">
      <alignment horizontal="center" vertical="center"/>
    </xf>
    <xf numFmtId="180" fontId="70" fillId="0" borderId="86" xfId="138" applyNumberFormat="1" applyFont="1" applyFill="1" applyBorder="1" applyAlignment="1" applyProtection="1">
      <alignment horizontal="right" vertical="center"/>
    </xf>
    <xf numFmtId="0" fontId="70" fillId="0" borderId="24" xfId="138" applyNumberFormat="1" applyFont="1" applyFill="1" applyBorder="1" applyAlignment="1" applyProtection="1">
      <alignment horizontal="center" vertical="center"/>
    </xf>
    <xf numFmtId="0" fontId="70" fillId="0" borderId="23" xfId="138" applyNumberFormat="1" applyFont="1" applyFill="1" applyBorder="1" applyAlignment="1" applyProtection="1">
      <alignment horizontal="center" vertical="center"/>
    </xf>
    <xf numFmtId="0" fontId="70" fillId="0" borderId="41" xfId="138" applyNumberFormat="1" applyFont="1" applyFill="1" applyBorder="1" applyAlignment="1" applyProtection="1">
      <alignment horizontal="center" vertical="center"/>
    </xf>
    <xf numFmtId="0" fontId="70" fillId="0" borderId="47" xfId="138" applyNumberFormat="1" applyFont="1" applyFill="1" applyBorder="1" applyAlignment="1" applyProtection="1">
      <alignment vertical="center" wrapText="1"/>
    </xf>
    <xf numFmtId="0" fontId="70" fillId="0" borderId="53" xfId="138" applyNumberFormat="1" applyFont="1" applyFill="1" applyBorder="1" applyAlignment="1" applyProtection="1">
      <alignment horizontal="center" vertical="center"/>
    </xf>
    <xf numFmtId="0" fontId="70" fillId="0" borderId="40" xfId="138" applyNumberFormat="1" applyFont="1" applyFill="1" applyBorder="1" applyAlignment="1" applyProtection="1">
      <alignment horizontal="center" vertical="center" wrapText="1"/>
    </xf>
    <xf numFmtId="0" fontId="70" fillId="0" borderId="65" xfId="138" applyNumberFormat="1" applyFont="1" applyFill="1" applyBorder="1" applyAlignment="1" applyProtection="1">
      <alignment vertical="center" wrapText="1"/>
    </xf>
    <xf numFmtId="0" fontId="24" fillId="0" borderId="0" xfId="138" applyFill="1" applyAlignment="1">
      <alignment wrapText="1"/>
    </xf>
    <xf numFmtId="0" fontId="70" fillId="0" borderId="36" xfId="138" applyNumberFormat="1" applyFont="1" applyFill="1" applyBorder="1" applyAlignment="1" applyProtection="1">
      <alignment horizontal="center" vertical="center"/>
    </xf>
    <xf numFmtId="0" fontId="70" fillId="0" borderId="30" xfId="138" applyNumberFormat="1" applyFont="1" applyFill="1" applyBorder="1" applyAlignment="1" applyProtection="1">
      <alignment horizontal="center" vertical="center"/>
    </xf>
    <xf numFmtId="0" fontId="70" fillId="0" borderId="29" xfId="138" applyNumberFormat="1" applyFont="1" applyFill="1" applyBorder="1" applyAlignment="1" applyProtection="1">
      <alignment horizontal="center" vertical="center"/>
    </xf>
    <xf numFmtId="0" fontId="70" fillId="0" borderId="46" xfId="138" applyNumberFormat="1" applyFont="1" applyFill="1" applyBorder="1" applyAlignment="1" applyProtection="1">
      <alignment horizontal="left" vertical="center" wrapText="1"/>
    </xf>
    <xf numFmtId="0" fontId="70" fillId="0" borderId="24" xfId="138" applyNumberFormat="1" applyFont="1" applyFill="1" applyBorder="1" applyAlignment="1" applyProtection="1">
      <alignment horizontal="center" vertical="center" wrapText="1"/>
    </xf>
    <xf numFmtId="0" fontId="70" fillId="0" borderId="74" xfId="138" applyNumberFormat="1" applyFont="1" applyFill="1" applyBorder="1" applyAlignment="1" applyProtection="1">
      <alignment vertical="center"/>
    </xf>
    <xf numFmtId="0" fontId="70" fillId="0" borderId="75" xfId="138" applyNumberFormat="1" applyFont="1" applyFill="1" applyBorder="1" applyAlignment="1" applyProtection="1">
      <alignment horizontal="center" vertical="center"/>
    </xf>
    <xf numFmtId="0" fontId="70" fillId="0" borderId="74" xfId="138" applyNumberFormat="1" applyFont="1" applyFill="1" applyBorder="1" applyAlignment="1" applyProtection="1">
      <alignment horizontal="left" vertical="center" wrapText="1"/>
    </xf>
    <xf numFmtId="0" fontId="70" fillId="0" borderId="75" xfId="138" applyNumberFormat="1" applyFont="1" applyFill="1" applyBorder="1" applyAlignment="1" applyProtection="1">
      <alignment horizontal="center" vertical="center" wrapText="1"/>
    </xf>
    <xf numFmtId="180" fontId="70" fillId="0" borderId="56" xfId="138" applyNumberFormat="1" applyFont="1" applyFill="1" applyBorder="1" applyAlignment="1" applyProtection="1">
      <alignment vertical="center"/>
    </xf>
    <xf numFmtId="0" fontId="70" fillId="0" borderId="80" xfId="138" applyNumberFormat="1" applyFont="1" applyFill="1" applyBorder="1" applyAlignment="1" applyProtection="1">
      <alignment vertical="center"/>
    </xf>
    <xf numFmtId="0" fontId="70" fillId="0" borderId="80" xfId="138" applyNumberFormat="1" applyFont="1" applyFill="1" applyBorder="1" applyAlignment="1" applyProtection="1">
      <alignment horizontal="left" vertical="center" wrapText="1"/>
    </xf>
    <xf numFmtId="0" fontId="70" fillId="0" borderId="36" xfId="138" applyNumberFormat="1" applyFont="1" applyFill="1" applyBorder="1" applyAlignment="1" applyProtection="1">
      <alignment horizontal="center" vertical="center" wrapText="1"/>
    </xf>
    <xf numFmtId="0" fontId="70" fillId="0" borderId="52" xfId="138" applyNumberFormat="1" applyFont="1" applyFill="1" applyBorder="1" applyAlignment="1" applyProtection="1">
      <alignment horizontal="left" vertical="center" wrapText="1"/>
    </xf>
    <xf numFmtId="178" fontId="70" fillId="0" borderId="86" xfId="138" applyNumberFormat="1" applyFont="1" applyFill="1" applyBorder="1" applyAlignment="1" applyProtection="1">
      <alignment horizontal="right" vertical="center"/>
    </xf>
    <xf numFmtId="0" fontId="70" fillId="0" borderId="84" xfId="138" applyNumberFormat="1" applyFont="1" applyFill="1" applyBorder="1" applyAlignment="1" applyProtection="1">
      <alignment vertical="center" wrapText="1"/>
    </xf>
    <xf numFmtId="180" fontId="70" fillId="0" borderId="86" xfId="138" applyNumberFormat="1" applyFont="1" applyFill="1" applyBorder="1" applyAlignment="1" applyProtection="1">
      <alignment vertical="center"/>
    </xf>
    <xf numFmtId="0" fontId="70" fillId="0" borderId="35" xfId="138" applyNumberFormat="1" applyFont="1" applyFill="1" applyBorder="1" applyAlignment="1" applyProtection="1">
      <alignment horizontal="center" vertical="center"/>
    </xf>
    <xf numFmtId="182" fontId="70" fillId="0" borderId="36" xfId="138" applyNumberFormat="1" applyFont="1" applyFill="1" applyBorder="1" applyAlignment="1" applyProtection="1">
      <alignment horizontal="center" vertical="center"/>
    </xf>
    <xf numFmtId="182" fontId="70" fillId="0" borderId="35" xfId="138" applyNumberFormat="1" applyFont="1" applyFill="1" applyBorder="1" applyAlignment="1" applyProtection="1">
      <alignment horizontal="center" vertical="center"/>
    </xf>
    <xf numFmtId="176" fontId="70" fillId="0" borderId="40" xfId="138" applyNumberFormat="1" applyFont="1" applyFill="1" applyBorder="1" applyAlignment="1" applyProtection="1">
      <alignment horizontal="right" vertical="center"/>
    </xf>
    <xf numFmtId="180" fontId="86" fillId="0" borderId="34" xfId="138" applyNumberFormat="1" applyFont="1" applyFill="1" applyBorder="1" applyAlignment="1" applyProtection="1">
      <alignment vertical="center" wrapText="1"/>
    </xf>
    <xf numFmtId="180" fontId="86" fillId="0" borderId="35" xfId="138" applyNumberFormat="1" applyFont="1" applyFill="1" applyBorder="1" applyAlignment="1" applyProtection="1">
      <alignment vertical="center" wrapText="1"/>
    </xf>
    <xf numFmtId="180" fontId="86" fillId="0" borderId="36" xfId="138" applyNumberFormat="1" applyFont="1" applyFill="1" applyBorder="1" applyAlignment="1" applyProtection="1">
      <alignment vertical="center" wrapText="1"/>
    </xf>
    <xf numFmtId="180" fontId="86" fillId="0" borderId="39" xfId="138" applyNumberFormat="1" applyFont="1" applyFill="1" applyBorder="1" applyAlignment="1" applyProtection="1">
      <alignment vertical="center" wrapText="1"/>
    </xf>
    <xf numFmtId="180" fontId="86" fillId="0" borderId="28" xfId="138" applyNumberFormat="1" applyFont="1" applyFill="1" applyBorder="1" applyAlignment="1" applyProtection="1">
      <alignment vertical="center" wrapText="1"/>
    </xf>
    <xf numFmtId="180" fontId="86" fillId="0" borderId="29" xfId="138" applyNumberFormat="1" applyFont="1" applyFill="1" applyBorder="1" applyAlignment="1" applyProtection="1">
      <alignment vertical="center" wrapText="1"/>
    </xf>
    <xf numFmtId="180" fontId="86" fillId="0" borderId="30" xfId="138" applyNumberFormat="1" applyFont="1" applyFill="1" applyBorder="1" applyAlignment="1" applyProtection="1">
      <alignment vertical="center" wrapText="1"/>
    </xf>
    <xf numFmtId="0" fontId="81" fillId="0" borderId="0" xfId="138" applyNumberFormat="1" applyFont="1" applyFill="1" applyBorder="1" applyAlignment="1" applyProtection="1">
      <alignment vertical="center"/>
    </xf>
    <xf numFmtId="0" fontId="70" fillId="0" borderId="95" xfId="138" applyNumberFormat="1" applyFont="1" applyFill="1" applyBorder="1" applyAlignment="1" applyProtection="1">
      <alignment horizontal="center" vertical="center"/>
    </xf>
    <xf numFmtId="0" fontId="70" fillId="0" borderId="68" xfId="138" applyNumberFormat="1" applyFont="1" applyFill="1" applyBorder="1" applyAlignment="1" applyProtection="1">
      <alignment horizontal="center" vertical="center"/>
    </xf>
    <xf numFmtId="0" fontId="70" fillId="0" borderId="96" xfId="138" applyNumberFormat="1" applyFont="1" applyFill="1" applyBorder="1" applyAlignment="1" applyProtection="1">
      <alignment horizontal="center" vertical="center"/>
    </xf>
    <xf numFmtId="0" fontId="70" fillId="0" borderId="67" xfId="138" applyNumberFormat="1" applyFont="1" applyFill="1" applyBorder="1" applyAlignment="1" applyProtection="1">
      <alignment vertical="center"/>
    </xf>
    <xf numFmtId="180" fontId="4" fillId="0" borderId="21" xfId="138" applyNumberFormat="1" applyFont="1" applyFill="1" applyBorder="1" applyAlignment="1" applyProtection="1">
      <alignment horizontal="right" vertical="center"/>
    </xf>
    <xf numFmtId="0" fontId="70" fillId="0" borderId="65" xfId="138" applyNumberFormat="1" applyFont="1" applyFill="1" applyBorder="1" applyAlignment="1" applyProtection="1">
      <alignment horizontal="left" vertical="center"/>
    </xf>
    <xf numFmtId="180" fontId="70" fillId="0" borderId="65" xfId="138" applyNumberFormat="1" applyFont="1" applyFill="1" applyBorder="1" applyAlignment="1" applyProtection="1">
      <alignment horizontal="right" vertical="center"/>
    </xf>
    <xf numFmtId="0" fontId="70" fillId="0" borderId="65" xfId="138" applyNumberFormat="1" applyFont="1" applyFill="1" applyBorder="1" applyAlignment="1" applyProtection="1">
      <alignment horizontal="center" vertical="center"/>
    </xf>
    <xf numFmtId="180" fontId="70" fillId="0" borderId="27" xfId="138" applyNumberFormat="1" applyFont="1" applyFill="1" applyBorder="1" applyAlignment="1" applyProtection="1">
      <alignment horizontal="right" vertical="center"/>
    </xf>
    <xf numFmtId="180" fontId="70" fillId="0" borderId="97" xfId="138" applyNumberFormat="1" applyFont="1" applyFill="1" applyBorder="1" applyAlignment="1" applyProtection="1">
      <alignment horizontal="right" vertical="center"/>
    </xf>
    <xf numFmtId="180" fontId="70" fillId="0" borderId="98" xfId="138" applyNumberFormat="1" applyFont="1" applyFill="1" applyBorder="1" applyAlignment="1" applyProtection="1">
      <alignment horizontal="right" vertical="center"/>
    </xf>
    <xf numFmtId="0" fontId="70" fillId="0" borderId="99" xfId="138" applyNumberFormat="1" applyFont="1" applyFill="1" applyBorder="1" applyAlignment="1" applyProtection="1">
      <alignment horizontal="center" vertical="center" wrapText="1"/>
    </xf>
    <xf numFmtId="0" fontId="70" fillId="0" borderId="100" xfId="138" applyNumberFormat="1" applyFont="1" applyFill="1" applyBorder="1" applyAlignment="1" applyProtection="1">
      <alignment horizontal="center" vertical="center" wrapText="1"/>
    </xf>
    <xf numFmtId="0" fontId="70" fillId="0" borderId="101" xfId="138" applyNumberFormat="1" applyFont="1" applyFill="1" applyBorder="1" applyAlignment="1" applyProtection="1">
      <alignment horizontal="center" vertical="center"/>
    </xf>
    <xf numFmtId="0" fontId="70" fillId="0" borderId="102" xfId="138" applyNumberFormat="1" applyFont="1" applyFill="1" applyBorder="1" applyAlignment="1" applyProtection="1">
      <alignment horizontal="center" vertical="center"/>
    </xf>
    <xf numFmtId="0" fontId="70" fillId="0" borderId="100" xfId="138" applyNumberFormat="1" applyFont="1" applyFill="1" applyBorder="1" applyAlignment="1" applyProtection="1">
      <alignment horizontal="center" vertical="center"/>
    </xf>
    <xf numFmtId="0" fontId="70" fillId="0" borderId="103" xfId="138" applyNumberFormat="1" applyFont="1" applyFill="1" applyBorder="1" applyAlignment="1" applyProtection="1">
      <alignment horizontal="left" vertical="center" wrapText="1"/>
    </xf>
    <xf numFmtId="0" fontId="70" fillId="0" borderId="13" xfId="138" applyNumberFormat="1" applyFont="1" applyFill="1" applyBorder="1" applyAlignment="1" applyProtection="1">
      <alignment horizontal="center" vertical="center"/>
    </xf>
    <xf numFmtId="0" fontId="70" fillId="0" borderId="104" xfId="138" applyNumberFormat="1" applyFont="1" applyFill="1" applyBorder="1" applyAlignment="1" applyProtection="1">
      <alignment horizontal="center" vertical="center" wrapText="1"/>
    </xf>
    <xf numFmtId="0" fontId="70" fillId="0" borderId="105" xfId="138" applyNumberFormat="1" applyFont="1" applyFill="1" applyBorder="1" applyAlignment="1" applyProtection="1">
      <alignment horizontal="left" vertical="center" wrapText="1"/>
    </xf>
    <xf numFmtId="0" fontId="70" fillId="0" borderId="13" xfId="138" applyNumberFormat="1" applyFont="1" applyFill="1" applyBorder="1" applyAlignment="1" applyProtection="1">
      <alignment horizontal="center" vertical="center" wrapText="1"/>
    </xf>
    <xf numFmtId="0" fontId="70" fillId="0" borderId="15" xfId="138" applyNumberFormat="1" applyFont="1" applyFill="1" applyBorder="1" applyAlignment="1" applyProtection="1">
      <alignment horizontal="left" vertical="center"/>
    </xf>
    <xf numFmtId="0" fontId="70" fillId="0" borderId="15" xfId="138" applyNumberFormat="1" applyFont="1" applyFill="1" applyBorder="1" applyAlignment="1" applyProtection="1">
      <alignment horizontal="center" vertical="center"/>
    </xf>
    <xf numFmtId="0" fontId="70" fillId="0" borderId="92" xfId="138" applyNumberFormat="1" applyFont="1" applyFill="1" applyBorder="1" applyAlignment="1" applyProtection="1">
      <alignment horizontal="center" vertical="center"/>
    </xf>
    <xf numFmtId="0" fontId="64" fillId="0" borderId="0" xfId="0" applyFont="1" applyFill="1" applyBorder="1">
      <alignment vertical="center"/>
    </xf>
    <xf numFmtId="181" fontId="65" fillId="0" borderId="0" xfId="0" applyNumberFormat="1" applyFont="1" applyFill="1">
      <alignment vertical="center"/>
    </xf>
    <xf numFmtId="178" fontId="66" fillId="0" borderId="11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Alignment="1">
      <alignment vertical="center"/>
    </xf>
    <xf numFmtId="176" fontId="66" fillId="0" borderId="11" xfId="0" applyNumberFormat="1" applyFont="1" applyFill="1" applyBorder="1" applyAlignment="1">
      <alignment horizontal="right" vertical="center"/>
    </xf>
    <xf numFmtId="176" fontId="65" fillId="0" borderId="11" xfId="0" applyNumberFormat="1" applyFont="1" applyFill="1" applyBorder="1" applyAlignment="1">
      <alignment vertical="center"/>
    </xf>
    <xf numFmtId="1" fontId="66" fillId="0" borderId="11" xfId="43" applyNumberFormat="1" applyFont="1" applyFill="1" applyBorder="1" applyAlignment="1">
      <alignment vertical="center"/>
    </xf>
    <xf numFmtId="177" fontId="66" fillId="0" borderId="11" xfId="21" applyNumberFormat="1" applyFont="1" applyFill="1" applyBorder="1" applyAlignment="1">
      <alignment vertical="center"/>
    </xf>
    <xf numFmtId="0" fontId="66" fillId="0" borderId="11" xfId="43" applyFont="1" applyFill="1" applyBorder="1" applyAlignment="1">
      <alignment vertical="center"/>
    </xf>
    <xf numFmtId="1" fontId="65" fillId="0" borderId="11" xfId="43" applyNumberFormat="1" applyFont="1" applyFill="1" applyBorder="1" applyAlignment="1">
      <alignment vertical="center"/>
    </xf>
    <xf numFmtId="177" fontId="65" fillId="0" borderId="11" xfId="21" applyNumberFormat="1" applyFont="1" applyFill="1" applyBorder="1" applyAlignment="1">
      <alignment vertical="center"/>
    </xf>
    <xf numFmtId="177" fontId="65" fillId="0" borderId="0" xfId="0" applyNumberFormat="1" applyFont="1" applyFill="1" applyAlignment="1">
      <alignment vertical="center"/>
    </xf>
    <xf numFmtId="177" fontId="6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179" fontId="24" fillId="0" borderId="0" xfId="64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8" fontId="66" fillId="0" borderId="13" xfId="0" applyNumberFormat="1" applyFont="1" applyFill="1" applyBorder="1" applyAlignment="1" applyProtection="1">
      <alignment horizontal="right" vertical="center"/>
    </xf>
    <xf numFmtId="3" fontId="4" fillId="0" borderId="0" xfId="108" applyNumberFormat="1" applyFont="1" applyFill="1" applyAlignment="1" applyProtection="1">
      <alignment horizontal="right" vertical="center"/>
    </xf>
    <xf numFmtId="3" fontId="24" fillId="0" borderId="15" xfId="108" applyNumberFormat="1" applyFont="1" applyFill="1" applyBorder="1" applyAlignment="1" applyProtection="1">
      <alignment horizontal="right" vertical="center"/>
    </xf>
    <xf numFmtId="3" fontId="4" fillId="0" borderId="0" xfId="108" applyNumberFormat="1" applyFont="1" applyFill="1" applyAlignment="1" applyProtection="1"/>
    <xf numFmtId="3" fontId="24" fillId="0" borderId="11" xfId="108" applyNumberFormat="1" applyFont="1" applyFill="1" applyBorder="1" applyAlignment="1" applyProtection="1">
      <alignment horizontal="left" vertical="center"/>
    </xf>
    <xf numFmtId="3" fontId="24" fillId="0" borderId="11" xfId="108" applyNumberFormat="1" applyFont="1" applyFill="1" applyBorder="1" applyAlignment="1" applyProtection="1">
      <alignment horizontal="right" vertical="center"/>
    </xf>
    <xf numFmtId="3" fontId="24" fillId="0" borderId="12" xfId="108" applyNumberFormat="1" applyFont="1" applyFill="1" applyBorder="1" applyAlignment="1" applyProtection="1">
      <alignment horizontal="right" vertical="center"/>
    </xf>
    <xf numFmtId="3" fontId="24" fillId="0" borderId="13" xfId="108" applyNumberFormat="1" applyFont="1" applyFill="1" applyBorder="1" applyAlignment="1" applyProtection="1">
      <alignment horizontal="right" vertical="center"/>
    </xf>
    <xf numFmtId="3" fontId="24" fillId="0" borderId="106" xfId="108" applyNumberFormat="1" applyFont="1" applyFill="1" applyBorder="1" applyAlignment="1" applyProtection="1">
      <alignment horizontal="right" vertical="center"/>
    </xf>
    <xf numFmtId="3" fontId="24" fillId="0" borderId="105" xfId="108" applyNumberFormat="1" applyFont="1" applyFill="1" applyBorder="1" applyAlignment="1" applyProtection="1">
      <alignment horizontal="right" vertical="center"/>
    </xf>
    <xf numFmtId="3" fontId="24" fillId="0" borderId="14" xfId="108" applyNumberFormat="1" applyFont="1" applyFill="1" applyBorder="1" applyAlignment="1" applyProtection="1">
      <alignment horizontal="right" vertical="center"/>
    </xf>
    <xf numFmtId="3" fontId="24" fillId="0" borderId="11" xfId="108" applyNumberFormat="1" applyFont="1" applyFill="1" applyBorder="1" applyAlignment="1" applyProtection="1">
      <alignment horizontal="center" vertical="center"/>
    </xf>
    <xf numFmtId="0" fontId="4" fillId="0" borderId="0" xfId="108" applyFont="1" applyFill="1"/>
    <xf numFmtId="0" fontId="4" fillId="0" borderId="0" xfId="108" applyFill="1"/>
    <xf numFmtId="3" fontId="24" fillId="0" borderId="15" xfId="108" applyNumberFormat="1" applyFont="1" applyFill="1" applyBorder="1" applyAlignment="1" applyProtection="1">
      <alignment vertical="center"/>
    </xf>
    <xf numFmtId="3" fontId="24" fillId="0" borderId="11" xfId="108" applyNumberFormat="1" applyFont="1" applyFill="1" applyBorder="1" applyAlignment="1" applyProtection="1">
      <alignment vertical="center"/>
    </xf>
    <xf numFmtId="3" fontId="24" fillId="0" borderId="106" xfId="108" applyNumberFormat="1" applyFont="1" applyFill="1" applyBorder="1" applyAlignment="1" applyProtection="1">
      <alignment vertical="center"/>
    </xf>
    <xf numFmtId="3" fontId="24" fillId="0" borderId="105" xfId="108" applyNumberFormat="1" applyFont="1" applyFill="1" applyBorder="1" applyAlignment="1" applyProtection="1">
      <alignment vertical="center"/>
    </xf>
    <xf numFmtId="3" fontId="24" fillId="0" borderId="16" xfId="108" applyNumberFormat="1" applyFont="1" applyFill="1" applyBorder="1" applyAlignment="1" applyProtection="1">
      <alignment vertical="center"/>
    </xf>
    <xf numFmtId="3" fontId="24" fillId="0" borderId="14" xfId="108" applyNumberFormat="1" applyFont="1" applyFill="1" applyBorder="1" applyAlignment="1" applyProtection="1">
      <alignment vertical="center"/>
    </xf>
    <xf numFmtId="3" fontId="24" fillId="0" borderId="18" xfId="108" applyNumberFormat="1" applyFont="1" applyFill="1" applyBorder="1" applyAlignment="1" applyProtection="1">
      <alignment vertical="center"/>
    </xf>
    <xf numFmtId="3" fontId="4" fillId="0" borderId="11" xfId="108" applyNumberFormat="1" applyFont="1" applyFill="1" applyBorder="1" applyAlignment="1" applyProtection="1">
      <alignment vertical="center"/>
    </xf>
    <xf numFmtId="3" fontId="24" fillId="0" borderId="12" xfId="108" applyNumberFormat="1" applyFont="1" applyFill="1" applyBorder="1" applyAlignment="1" applyProtection="1">
      <alignment vertical="center"/>
    </xf>
    <xf numFmtId="3" fontId="4" fillId="0" borderId="13" xfId="108" applyNumberFormat="1" applyFont="1" applyFill="1" applyBorder="1" applyAlignment="1" applyProtection="1">
      <alignment vertical="center"/>
    </xf>
    <xf numFmtId="3" fontId="24" fillId="0" borderId="16" xfId="108" applyNumberFormat="1" applyFont="1" applyFill="1" applyBorder="1" applyAlignment="1" applyProtection="1">
      <alignment horizontal="right" vertical="center"/>
    </xf>
    <xf numFmtId="3" fontId="40" fillId="0" borderId="11" xfId="108" applyNumberFormat="1" applyFont="1" applyFill="1" applyBorder="1" applyAlignment="1" applyProtection="1">
      <alignment horizontal="center" vertical="center"/>
    </xf>
    <xf numFmtId="3" fontId="40" fillId="0" borderId="11" xfId="108" applyNumberFormat="1" applyFont="1" applyFill="1" applyBorder="1" applyAlignment="1" applyProtection="1">
      <alignment horizontal="right" vertical="center"/>
    </xf>
    <xf numFmtId="3" fontId="32" fillId="0" borderId="0" xfId="108" applyNumberFormat="1" applyFont="1" applyFill="1" applyAlignment="1" applyProtection="1">
      <alignment horizontal="right" vertical="center"/>
    </xf>
    <xf numFmtId="0" fontId="32" fillId="0" borderId="0" xfId="108" applyFont="1" applyFill="1"/>
    <xf numFmtId="3" fontId="33" fillId="0" borderId="12" xfId="108" applyNumberFormat="1" applyFont="1" applyFill="1" applyBorder="1" applyAlignment="1" applyProtection="1">
      <alignment horizontal="center" vertical="center"/>
    </xf>
    <xf numFmtId="3" fontId="33" fillId="0" borderId="11" xfId="108" applyNumberFormat="1" applyFont="1" applyFill="1" applyBorder="1" applyAlignment="1" applyProtection="1">
      <alignment horizontal="center" vertical="center"/>
    </xf>
    <xf numFmtId="3" fontId="33" fillId="0" borderId="11" xfId="108" applyNumberFormat="1" applyFont="1" applyFill="1" applyBorder="1" applyAlignment="1" applyProtection="1">
      <alignment horizontal="right" vertical="center"/>
    </xf>
    <xf numFmtId="0" fontId="33" fillId="0" borderId="0" xfId="108" applyFont="1" applyFill="1"/>
    <xf numFmtId="0" fontId="24" fillId="0" borderId="0" xfId="136" applyFont="1" applyAlignment="1">
      <alignment vertical="center"/>
    </xf>
    <xf numFmtId="0" fontId="92" fillId="0" borderId="0" xfId="0" applyFont="1">
      <alignment vertical="center"/>
    </xf>
    <xf numFmtId="3" fontId="0" fillId="0" borderId="0" xfId="0" applyNumberFormat="1" applyFill="1" applyAlignment="1">
      <alignment vertical="center"/>
    </xf>
    <xf numFmtId="189" fontId="0" fillId="0" borderId="0" xfId="0" applyNumberForma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43" fontId="26" fillId="0" borderId="0" xfId="0" applyNumberFormat="1" applyFont="1" applyFill="1" applyAlignment="1">
      <alignment vertical="center"/>
    </xf>
    <xf numFmtId="189" fontId="26" fillId="0" borderId="0" xfId="0" applyNumberFormat="1" applyFont="1" applyFill="1" applyAlignment="1">
      <alignment vertical="center"/>
    </xf>
    <xf numFmtId="3" fontId="42" fillId="0" borderId="0" xfId="0" applyNumberFormat="1" applyFont="1" applyFill="1" applyAlignment="1">
      <alignment vertical="center"/>
    </xf>
    <xf numFmtId="0" fontId="66" fillId="0" borderId="11" xfId="44" applyNumberFormat="1" applyFont="1" applyFill="1" applyBorder="1" applyAlignment="1" applyProtection="1">
      <alignment vertical="center" wrapText="1"/>
    </xf>
    <xf numFmtId="177" fontId="32" fillId="0" borderId="0" xfId="21" applyNumberFormat="1" applyFont="1" applyFill="1" applyAlignment="1" applyProtection="1">
      <alignment horizontal="right" vertical="center"/>
    </xf>
    <xf numFmtId="10" fontId="41" fillId="0" borderId="0" xfId="21" applyNumberFormat="1" applyFont="1" applyAlignment="1"/>
    <xf numFmtId="0" fontId="24" fillId="0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3" fontId="93" fillId="0" borderId="11" xfId="0" applyNumberFormat="1" applyFont="1" applyFill="1" applyBorder="1" applyAlignment="1" applyProtection="1">
      <alignment horizontal="right" vertical="center"/>
    </xf>
    <xf numFmtId="3" fontId="24" fillId="0" borderId="11" xfId="0" applyNumberFormat="1" applyFont="1" applyFill="1" applyBorder="1" applyAlignment="1" applyProtection="1">
      <alignment horizontal="right" vertical="center"/>
    </xf>
    <xf numFmtId="3" fontId="24" fillId="0" borderId="13" xfId="0" applyNumberFormat="1" applyFont="1" applyFill="1" applyBorder="1" applyAlignment="1" applyProtection="1">
      <alignment horizontal="right" vertical="center"/>
    </xf>
    <xf numFmtId="3" fontId="24" fillId="0" borderId="12" xfId="0" applyNumberFormat="1" applyFont="1" applyFill="1" applyBorder="1" applyAlignment="1" applyProtection="1">
      <alignment horizontal="right" vertical="center"/>
    </xf>
    <xf numFmtId="3" fontId="40" fillId="0" borderId="17" xfId="0" applyNumberFormat="1" applyFont="1" applyFill="1" applyBorder="1" applyAlignment="1" applyProtection="1">
      <alignment horizontal="right" vertical="center"/>
    </xf>
    <xf numFmtId="3" fontId="93" fillId="0" borderId="13" xfId="0" applyNumberFormat="1" applyFont="1" applyFill="1" applyBorder="1" applyAlignment="1" applyProtection="1">
      <alignment horizontal="right" vertical="center"/>
    </xf>
    <xf numFmtId="3" fontId="24" fillId="0" borderId="15" xfId="0" applyNumberFormat="1" applyFont="1" applyFill="1" applyBorder="1" applyAlignment="1" applyProtection="1">
      <alignment horizontal="right" vertical="center"/>
    </xf>
    <xf numFmtId="3" fontId="24" fillId="0" borderId="105" xfId="0" applyNumberFormat="1" applyFont="1" applyFill="1" applyBorder="1" applyAlignment="1" applyProtection="1">
      <alignment horizontal="right" vertical="center"/>
    </xf>
    <xf numFmtId="3" fontId="24" fillId="0" borderId="17" xfId="0" applyNumberFormat="1" applyFont="1" applyFill="1" applyBorder="1" applyAlignment="1" applyProtection="1">
      <alignment horizontal="right" vertical="center"/>
    </xf>
    <xf numFmtId="3" fontId="24" fillId="0" borderId="106" xfId="0" applyNumberFormat="1" applyFont="1" applyFill="1" applyBorder="1" applyAlignment="1" applyProtection="1">
      <alignment horizontal="right" vertical="center"/>
    </xf>
    <xf numFmtId="3" fontId="40" fillId="0" borderId="11" xfId="0" applyNumberFormat="1" applyFont="1" applyFill="1" applyBorder="1" applyAlignment="1" applyProtection="1">
      <alignment horizontal="right" vertical="center"/>
    </xf>
    <xf numFmtId="3" fontId="66" fillId="0" borderId="11" xfId="0" applyNumberFormat="1" applyFont="1" applyFill="1" applyBorder="1" applyAlignment="1" applyProtection="1">
      <alignment vertical="center"/>
    </xf>
    <xf numFmtId="3" fontId="24" fillId="0" borderId="14" xfId="0" applyNumberFormat="1" applyFont="1" applyFill="1" applyBorder="1" applyAlignment="1" applyProtection="1">
      <alignment horizontal="right" vertical="center"/>
    </xf>
    <xf numFmtId="189" fontId="4" fillId="0" borderId="0" xfId="0" applyNumberFormat="1" applyFont="1" applyFill="1" applyAlignment="1">
      <alignment vertical="center"/>
    </xf>
    <xf numFmtId="190" fontId="26" fillId="0" borderId="0" xfId="0" applyNumberFormat="1" applyFont="1" applyFill="1" applyAlignment="1">
      <alignment vertical="center"/>
    </xf>
    <xf numFmtId="3" fontId="24" fillId="0" borderId="11" xfId="0" applyNumberFormat="1" applyFont="1" applyFill="1" applyBorder="1" applyAlignment="1" applyProtection="1">
      <alignment horizontal="right" vertical="center" wrapText="1"/>
    </xf>
    <xf numFmtId="0" fontId="96" fillId="0" borderId="0" xfId="140" applyFill="1">
      <alignment vertical="center"/>
    </xf>
    <xf numFmtId="0" fontId="99" fillId="0" borderId="0" xfId="140" applyFont="1" applyFill="1" applyAlignment="1">
      <alignment horizontal="center" vertical="center"/>
    </xf>
    <xf numFmtId="0" fontId="99" fillId="0" borderId="0" xfId="140" applyFont="1" applyFill="1" applyBorder="1" applyAlignment="1">
      <alignment horizontal="right" vertical="center"/>
    </xf>
    <xf numFmtId="0" fontId="99" fillId="0" borderId="0" xfId="140" applyFont="1" applyFill="1" applyBorder="1" applyAlignment="1">
      <alignment horizontal="right"/>
    </xf>
    <xf numFmtId="0" fontId="99" fillId="0" borderId="0" xfId="140" applyFont="1" applyFill="1">
      <alignment vertical="center"/>
    </xf>
    <xf numFmtId="0" fontId="100" fillId="0" borderId="11" xfId="140" applyFont="1" applyFill="1" applyBorder="1" applyAlignment="1">
      <alignment horizontal="center" vertical="center" wrapText="1"/>
    </xf>
    <xf numFmtId="0" fontId="101" fillId="0" borderId="11" xfId="140" applyFont="1" applyFill="1" applyBorder="1" applyAlignment="1">
      <alignment horizontal="center" vertical="center"/>
    </xf>
    <xf numFmtId="0" fontId="101" fillId="0" borderId="11" xfId="140" applyNumberFormat="1" applyFont="1" applyFill="1" applyBorder="1" applyAlignment="1">
      <alignment horizontal="left" vertical="center" wrapText="1"/>
    </xf>
    <xf numFmtId="191" fontId="99" fillId="0" borderId="11" xfId="140" applyNumberFormat="1" applyFont="1" applyFill="1" applyBorder="1" applyAlignment="1">
      <alignment horizontal="right" vertical="center"/>
    </xf>
    <xf numFmtId="0" fontId="102" fillId="0" borderId="11" xfId="140" applyFont="1" applyFill="1" applyBorder="1" applyAlignment="1">
      <alignment horizontal="center" vertical="center"/>
    </xf>
    <xf numFmtId="0" fontId="101" fillId="0" borderId="11" xfId="140" applyNumberFormat="1" applyFont="1" applyFill="1" applyBorder="1" applyAlignment="1">
      <alignment horizontal="left" vertical="center"/>
    </xf>
    <xf numFmtId="0" fontId="99" fillId="0" borderId="11" xfId="140" applyFont="1" applyFill="1" applyBorder="1" applyAlignment="1">
      <alignment horizontal="right" vertical="center"/>
    </xf>
    <xf numFmtId="0" fontId="94" fillId="0" borderId="0" xfId="0" applyFont="1" applyFill="1" applyBorder="1" applyAlignment="1">
      <alignment horizontal="center" vertical="center"/>
    </xf>
    <xf numFmtId="176" fontId="94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176" fontId="95" fillId="0" borderId="0" xfId="0" applyNumberFormat="1" applyFont="1" applyFill="1" applyBorder="1" applyAlignment="1">
      <alignment horizontal="center" vertical="center"/>
    </xf>
    <xf numFmtId="0" fontId="40" fillId="0" borderId="11" xfId="136" applyNumberFormat="1" applyFont="1" applyFill="1" applyBorder="1" applyAlignment="1" applyProtection="1">
      <alignment horizontal="center" vertical="center"/>
    </xf>
    <xf numFmtId="0" fontId="60" fillId="0" borderId="0" xfId="136" applyNumberFormat="1" applyFont="1" applyFill="1" applyAlignment="1" applyProtection="1">
      <alignment horizontal="center" vertical="center"/>
    </xf>
    <xf numFmtId="0" fontId="38" fillId="0" borderId="10" xfId="136" applyNumberFormat="1" applyFont="1" applyFill="1" applyBorder="1" applyAlignment="1" applyProtection="1">
      <alignment horizontal="right" vertical="center"/>
    </xf>
    <xf numFmtId="0" fontId="38" fillId="0" borderId="0" xfId="136" applyNumberFormat="1" applyFont="1" applyFill="1" applyAlignment="1" applyProtection="1">
      <alignment horizontal="right" vertical="center"/>
    </xf>
    <xf numFmtId="0" fontId="32" fillId="0" borderId="13" xfId="136" applyNumberFormat="1" applyFont="1" applyFill="1" applyBorder="1" applyAlignment="1" applyProtection="1">
      <alignment horizontal="center" vertical="center"/>
    </xf>
    <xf numFmtId="0" fontId="32" fillId="0" borderId="11" xfId="136" applyNumberFormat="1" applyFont="1" applyFill="1" applyBorder="1" applyAlignment="1" applyProtection="1">
      <alignment horizontal="center" vertical="center"/>
    </xf>
    <xf numFmtId="0" fontId="32" fillId="0" borderId="12" xfId="136" applyNumberFormat="1" applyFont="1" applyFill="1" applyBorder="1" applyAlignment="1" applyProtection="1">
      <alignment horizontal="center" vertical="center"/>
    </xf>
    <xf numFmtId="0" fontId="32" fillId="0" borderId="17" xfId="136" applyNumberFormat="1" applyFont="1" applyFill="1" applyBorder="1" applyAlignment="1" applyProtection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91" fontId="99" fillId="0" borderId="14" xfId="140" applyNumberFormat="1" applyFont="1" applyFill="1" applyBorder="1" applyAlignment="1">
      <alignment horizontal="right" vertical="center"/>
    </xf>
    <xf numFmtId="191" fontId="99" fillId="0" borderId="15" xfId="140" applyNumberFormat="1" applyFont="1" applyFill="1" applyBorder="1" applyAlignment="1">
      <alignment horizontal="right" vertical="center"/>
    </xf>
    <xf numFmtId="0" fontId="97" fillId="0" borderId="0" xfId="140" applyFont="1" applyFill="1" applyAlignment="1">
      <alignment horizontal="center" vertical="center"/>
    </xf>
    <xf numFmtId="0" fontId="99" fillId="0" borderId="10" xfId="140" applyFont="1" applyFill="1" applyBorder="1" applyAlignment="1">
      <alignment horizontal="right" vertical="center"/>
    </xf>
    <xf numFmtId="0" fontId="100" fillId="0" borderId="11" xfId="140" applyFont="1" applyFill="1" applyBorder="1" applyAlignment="1">
      <alignment horizontal="center" vertical="center"/>
    </xf>
    <xf numFmtId="0" fontId="100" fillId="0" borderId="11" xfId="140" applyFont="1" applyFill="1" applyBorder="1" applyAlignment="1">
      <alignment horizontal="center" vertical="center" wrapText="1"/>
    </xf>
    <xf numFmtId="0" fontId="100" fillId="0" borderId="14" xfId="140" applyFont="1" applyFill="1" applyBorder="1" applyAlignment="1">
      <alignment horizontal="center" vertical="center" wrapText="1"/>
    </xf>
    <xf numFmtId="0" fontId="100" fillId="0" borderId="15" xfId="14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3" fontId="58" fillId="0" borderId="0" xfId="108" applyNumberFormat="1" applyFont="1" applyFill="1" applyBorder="1" applyAlignment="1" applyProtection="1">
      <alignment horizontal="center" vertical="center"/>
    </xf>
    <xf numFmtId="3" fontId="24" fillId="0" borderId="0" xfId="108" applyNumberFormat="1" applyFont="1" applyFill="1" applyBorder="1" applyAlignment="1" applyProtection="1">
      <alignment horizontal="right" vertical="center"/>
    </xf>
    <xf numFmtId="3" fontId="58" fillId="0" borderId="0" xfId="108" applyNumberFormat="1" applyFont="1" applyFill="1" applyAlignment="1" applyProtection="1">
      <alignment horizontal="center" vertical="center"/>
    </xf>
    <xf numFmtId="3" fontId="24" fillId="0" borderId="0" xfId="108" applyNumberFormat="1" applyFont="1" applyFill="1" applyAlignment="1" applyProtection="1">
      <alignment horizontal="right" vertical="center"/>
    </xf>
    <xf numFmtId="0" fontId="4" fillId="0" borderId="22" xfId="138" applyNumberFormat="1" applyFont="1" applyFill="1" applyBorder="1" applyAlignment="1" applyProtection="1">
      <alignment horizontal="center" vertical="center"/>
    </xf>
    <xf numFmtId="0" fontId="79" fillId="0" borderId="24" xfId="138" applyNumberFormat="1" applyFont="1" applyFill="1" applyBorder="1" applyAlignment="1" applyProtection="1">
      <alignment horizontal="center" vertical="center"/>
    </xf>
    <xf numFmtId="0" fontId="4" fillId="0" borderId="24" xfId="138" applyNumberFormat="1" applyFont="1" applyFill="1" applyBorder="1" applyAlignment="1" applyProtection="1">
      <alignment horizontal="center" vertical="center"/>
    </xf>
    <xf numFmtId="0" fontId="79" fillId="0" borderId="23" xfId="138" applyNumberFormat="1" applyFont="1" applyFill="1" applyBorder="1" applyAlignment="1" applyProtection="1">
      <alignment horizontal="center" vertical="center"/>
    </xf>
    <xf numFmtId="0" fontId="78" fillId="0" borderId="0" xfId="138" applyNumberFormat="1" applyFont="1" applyFill="1" applyBorder="1" applyAlignment="1" applyProtection="1">
      <alignment horizontal="center" vertical="center"/>
    </xf>
    <xf numFmtId="0" fontId="4" fillId="0" borderId="0" xfId="138" applyNumberFormat="1" applyFont="1" applyFill="1" applyBorder="1" applyAlignment="1" applyProtection="1">
      <alignment horizontal="right" vertical="center"/>
    </xf>
    <xf numFmtId="0" fontId="70" fillId="0" borderId="0" xfId="138" applyNumberFormat="1" applyFont="1" applyFill="1" applyBorder="1" applyAlignment="1" applyProtection="1">
      <alignment horizontal="right" vertical="center"/>
    </xf>
    <xf numFmtId="0" fontId="4" fillId="0" borderId="21" xfId="138" applyNumberFormat="1" applyFont="1" applyFill="1" applyBorder="1" applyAlignment="1" applyProtection="1">
      <alignment horizontal="center" vertical="center"/>
    </xf>
    <xf numFmtId="0" fontId="79" fillId="0" borderId="27" xfId="138" applyNumberFormat="1" applyFont="1" applyFill="1" applyBorder="1" applyAlignment="1" applyProtection="1">
      <alignment horizontal="center" vertical="center"/>
    </xf>
    <xf numFmtId="0" fontId="4" fillId="0" borderId="22" xfId="138" applyNumberFormat="1" applyFont="1" applyFill="1" applyBorder="1" applyAlignment="1" applyProtection="1">
      <alignment horizontal="center" vertical="center" wrapText="1"/>
    </xf>
    <xf numFmtId="0" fontId="4" fillId="0" borderId="24" xfId="138" applyNumberFormat="1" applyFont="1" applyFill="1" applyBorder="1" applyAlignment="1" applyProtection="1">
      <alignment horizontal="center" vertical="center" wrapText="1"/>
    </xf>
    <xf numFmtId="0" fontId="79" fillId="0" borderId="25" xfId="138" applyNumberFormat="1" applyFont="1" applyFill="1" applyBorder="1" applyAlignment="1" applyProtection="1">
      <alignment horizontal="center" vertical="center"/>
    </xf>
    <xf numFmtId="0" fontId="4" fillId="0" borderId="26" xfId="138" applyNumberFormat="1" applyFont="1" applyFill="1" applyBorder="1" applyAlignment="1" applyProtection="1">
      <alignment horizontal="center" vertical="center" wrapText="1"/>
    </xf>
    <xf numFmtId="0" fontId="79" fillId="0" borderId="26" xfId="138" applyNumberFormat="1" applyFont="1" applyFill="1" applyBorder="1" applyAlignment="1" applyProtection="1">
      <alignment horizontal="center" vertical="center"/>
    </xf>
    <xf numFmtId="0" fontId="73" fillId="0" borderId="0" xfId="138" applyNumberFormat="1" applyFont="1" applyFill="1" applyBorder="1" applyAlignment="1" applyProtection="1">
      <alignment horizontal="center" vertical="center"/>
    </xf>
    <xf numFmtId="0" fontId="70" fillId="0" borderId="46" xfId="138" applyNumberFormat="1" applyFont="1" applyFill="1" applyBorder="1" applyAlignment="1" applyProtection="1">
      <alignment horizontal="center" vertical="center"/>
    </xf>
    <xf numFmtId="0" fontId="82" fillId="0" borderId="54" xfId="138" applyNumberFormat="1" applyFont="1" applyFill="1" applyBorder="1" applyAlignment="1" applyProtection="1">
      <alignment horizontal="center" vertical="center"/>
    </xf>
    <xf numFmtId="0" fontId="70" fillId="0" borderId="24" xfId="138" applyNumberFormat="1" applyFont="1" applyFill="1" applyBorder="1" applyAlignment="1" applyProtection="1">
      <alignment horizontal="center" vertical="center" wrapText="1"/>
    </xf>
    <xf numFmtId="0" fontId="82" fillId="0" borderId="30" xfId="138" applyNumberFormat="1" applyFont="1" applyFill="1" applyBorder="1" applyAlignment="1" applyProtection="1">
      <alignment horizontal="center" vertical="center" wrapText="1"/>
    </xf>
    <xf numFmtId="0" fontId="82" fillId="0" borderId="24" xfId="138" applyNumberFormat="1" applyFont="1" applyFill="1" applyBorder="1" applyAlignment="1" applyProtection="1">
      <alignment horizontal="center" vertical="center" wrapText="1"/>
    </xf>
    <xf numFmtId="0" fontId="70" fillId="0" borderId="23" xfId="138" applyNumberFormat="1" applyFont="1" applyFill="1" applyBorder="1" applyAlignment="1" applyProtection="1">
      <alignment horizontal="center" vertical="center" wrapText="1"/>
    </xf>
    <xf numFmtId="0" fontId="82" fillId="0" borderId="29" xfId="138" applyNumberFormat="1" applyFont="1" applyFill="1" applyBorder="1" applyAlignment="1" applyProtection="1">
      <alignment horizontal="center" vertical="center" wrapText="1"/>
    </xf>
    <xf numFmtId="0" fontId="85" fillId="0" borderId="0" xfId="138" applyNumberFormat="1" applyFont="1" applyFill="1" applyBorder="1" applyAlignment="1" applyProtection="1">
      <alignment horizontal="center" vertical="center"/>
    </xf>
    <xf numFmtId="0" fontId="73" fillId="0" borderId="0" xfId="138" applyNumberFormat="1" applyFont="1" applyFill="1" applyBorder="1" applyAlignment="1" applyProtection="1">
      <alignment horizontal="center" vertical="center" wrapText="1"/>
    </xf>
    <xf numFmtId="0" fontId="89" fillId="0" borderId="0" xfId="138" applyNumberFormat="1" applyFont="1" applyFill="1" applyBorder="1" applyAlignment="1" applyProtection="1">
      <alignment horizontal="center" vertical="center"/>
    </xf>
    <xf numFmtId="0" fontId="91" fillId="0" borderId="0" xfId="138" applyNumberFormat="1" applyFont="1" applyFill="1" applyBorder="1" applyAlignment="1" applyProtection="1">
      <alignment horizontal="center" vertical="center"/>
    </xf>
  </cellXfs>
  <cellStyles count="141">
    <cellStyle name="_ET_STYLE_NoName_00_" xfId="2"/>
    <cellStyle name="20% - 强调文字颜色 1" xfId="3" builtinId="30" customBuiltin="1"/>
    <cellStyle name="20% - 强调文字颜色 1 2" xfId="78"/>
    <cellStyle name="20% - 强调文字颜色 2" xfId="4" builtinId="34" customBuiltin="1"/>
    <cellStyle name="20% - 强调文字颜色 2 2" xfId="79"/>
    <cellStyle name="20% - 强调文字颜色 3" xfId="5" builtinId="38" customBuiltin="1"/>
    <cellStyle name="20% - 强调文字颜色 3 2" xfId="80"/>
    <cellStyle name="20% - 强调文字颜色 4" xfId="6" builtinId="42" customBuiltin="1"/>
    <cellStyle name="20% - 强调文字颜色 4 2" xfId="81"/>
    <cellStyle name="20% - 强调文字颜色 5" xfId="7" builtinId="46" customBuiltin="1"/>
    <cellStyle name="20% - 强调文字颜色 5 2" xfId="82"/>
    <cellStyle name="20% - 强调文字颜色 6" xfId="8" builtinId="50" customBuiltin="1"/>
    <cellStyle name="20% - 强调文字颜色 6 2" xfId="83"/>
    <cellStyle name="40% - 强调文字颜色 1" xfId="9" builtinId="31" customBuiltin="1"/>
    <cellStyle name="40% - 强调文字颜色 1 2" xfId="84"/>
    <cellStyle name="40% - 强调文字颜色 2" xfId="10" builtinId="35" customBuiltin="1"/>
    <cellStyle name="40% - 强调文字颜色 2 2" xfId="85"/>
    <cellStyle name="40% - 强调文字颜色 3" xfId="11" builtinId="39" customBuiltin="1"/>
    <cellStyle name="40% - 强调文字颜色 3 2" xfId="86"/>
    <cellStyle name="40% - 强调文字颜色 4" xfId="12" builtinId="43" customBuiltin="1"/>
    <cellStyle name="40% - 强调文字颜色 4 2" xfId="87"/>
    <cellStyle name="40% - 强调文字颜色 5" xfId="13" builtinId="47" customBuiltin="1"/>
    <cellStyle name="40% - 强调文字颜色 5 2" xfId="88"/>
    <cellStyle name="40% - 强调文字颜色 6" xfId="14" builtinId="51" customBuiltin="1"/>
    <cellStyle name="40% - 强调文字颜色 6 2" xfId="89"/>
    <cellStyle name="60% - 强调文字颜色 1" xfId="15" builtinId="32" customBuiltin="1"/>
    <cellStyle name="60% - 强调文字颜色 1 2" xfId="90"/>
    <cellStyle name="60% - 强调文字颜色 2" xfId="16" builtinId="36" customBuiltin="1"/>
    <cellStyle name="60% - 强调文字颜色 2 2" xfId="91"/>
    <cellStyle name="60% - 强调文字颜色 3" xfId="17" builtinId="40" customBuiltin="1"/>
    <cellStyle name="60% - 强调文字颜色 3 2" xfId="92"/>
    <cellStyle name="60% - 强调文字颜色 4" xfId="18" builtinId="44" customBuiltin="1"/>
    <cellStyle name="60% - 强调文字颜色 4 2" xfId="93"/>
    <cellStyle name="60% - 强调文字颜色 5" xfId="19" builtinId="48" customBuiltin="1"/>
    <cellStyle name="60% - 强调文字颜色 5 2" xfId="94"/>
    <cellStyle name="60% - 强调文字颜色 6" xfId="20" builtinId="52" customBuiltin="1"/>
    <cellStyle name="60% - 强调文字颜色 6 2" xfId="95"/>
    <cellStyle name="百分比" xfId="21" builtinId="5"/>
    <cellStyle name="百分比 2" xfId="96"/>
    <cellStyle name="百分比 2 2" xfId="97"/>
    <cellStyle name="百分比 3" xfId="98"/>
    <cellStyle name="标题" xfId="22" builtinId="15" customBuiltin="1"/>
    <cellStyle name="标题 1" xfId="23" builtinId="16" customBuiltin="1"/>
    <cellStyle name="标题 1 2" xfId="99"/>
    <cellStyle name="标题 2" xfId="24" builtinId="17" customBuiltin="1"/>
    <cellStyle name="标题 2 2" xfId="100"/>
    <cellStyle name="标题 3" xfId="25" builtinId="18" customBuiltin="1"/>
    <cellStyle name="标题 3 2" xfId="101"/>
    <cellStyle name="标题 4" xfId="26" builtinId="19" customBuiltin="1"/>
    <cellStyle name="标题 4 2" xfId="102"/>
    <cellStyle name="标题 5" xfId="103"/>
    <cellStyle name="差" xfId="27" builtinId="27" customBuiltin="1"/>
    <cellStyle name="差 2" xfId="104"/>
    <cellStyle name="差_Sheet1" xfId="28"/>
    <cellStyle name="差_Sheet1_（大鹏新区）2014年收支决算（草案）" xfId="29"/>
    <cellStyle name="差_Sheet1_（龙华新区）2014年收支决算（草案）" xfId="30"/>
    <cellStyle name="差_Sheet1_国库：2014年新区收支决算（草案）-1" xfId="31"/>
    <cellStyle name="差_StartUp" xfId="32"/>
    <cellStyle name="差_Xl0000078" xfId="33"/>
    <cellStyle name="差_Xl0000079" xfId="34"/>
    <cellStyle name="差_附件1：经济分类科目2" xfId="35"/>
    <cellStyle name="差_附件1：经济分类科目2_（大鹏新区）2014年收支决算（草案）" xfId="36"/>
    <cellStyle name="差_附件1：经济分类科目2_（龙华新区）2014年收支决算（草案）" xfId="37"/>
    <cellStyle name="差_附件1：经济分类科目2_国库：2014年新区收支决算（草案）-1" xfId="38"/>
    <cellStyle name="常规" xfId="0" builtinId="0"/>
    <cellStyle name="常规 10" xfId="105"/>
    <cellStyle name="常规 10 2" xfId="140"/>
    <cellStyle name="常规 11" xfId="136"/>
    <cellStyle name="常规 12" xfId="138"/>
    <cellStyle name="常规 2" xfId="39"/>
    <cellStyle name="常规 2 2" xfId="40"/>
    <cellStyle name="常规 2 2 2" xfId="106"/>
    <cellStyle name="常规 2 3" xfId="107"/>
    <cellStyle name="常规 2 4" xfId="108"/>
    <cellStyle name="常规 2_（光明新区）2014年收支决算（草案）" xfId="41"/>
    <cellStyle name="常规 3" xfId="76"/>
    <cellStyle name="常规 3 2" xfId="109"/>
    <cellStyle name="常规 30" xfId="42"/>
    <cellStyle name="常规 4" xfId="110"/>
    <cellStyle name="常规 5" xfId="111"/>
    <cellStyle name="常规 56" xfId="137"/>
    <cellStyle name="常规 6" xfId="112"/>
    <cellStyle name="常规 7" xfId="113"/>
    <cellStyle name="常规 8" xfId="114"/>
    <cellStyle name="常规 9" xfId="115"/>
    <cellStyle name="常规_2010年财政一般预算收支预算（草案）20100315" xfId="43"/>
    <cellStyle name="常规_Sheet1" xfId="44"/>
    <cellStyle name="常规_附件：2011年本级财政预算（草案）" xfId="45"/>
    <cellStyle name="好" xfId="46" builtinId="26" customBuiltin="1"/>
    <cellStyle name="好 2" xfId="116"/>
    <cellStyle name="好_Sheet1" xfId="47"/>
    <cellStyle name="好_Sheet1_（大鹏新区）2014年收支决算（草案）" xfId="48"/>
    <cellStyle name="好_Sheet1_（龙华新区）2014年收支决算（草案）" xfId="49"/>
    <cellStyle name="好_Sheet1_国库：2014年新区收支决算（草案）-1" xfId="50"/>
    <cellStyle name="好_StartUp" xfId="51"/>
    <cellStyle name="好_Xl0000078" xfId="52"/>
    <cellStyle name="好_Xl0000079" xfId="53"/>
    <cellStyle name="好_附件1：经济分类科目2" xfId="54"/>
    <cellStyle name="好_附件1：经济分类科目2_（大鹏新区）2014年收支决算（草案）" xfId="55"/>
    <cellStyle name="好_附件1：经济分类科目2_（龙华新区）2014年收支决算（草案）" xfId="56"/>
    <cellStyle name="好_附件1：经济分类科目2_国库：2014年新区收支决算（草案）-1" xfId="57"/>
    <cellStyle name="汇总" xfId="58" builtinId="25" customBuiltin="1"/>
    <cellStyle name="汇总 2" xfId="117"/>
    <cellStyle name="计算" xfId="59" builtinId="22" customBuiltin="1"/>
    <cellStyle name="计算 2" xfId="118"/>
    <cellStyle name="检查单元格" xfId="60" builtinId="23" customBuiltin="1"/>
    <cellStyle name="检查单元格 2" xfId="119"/>
    <cellStyle name="解释性文本" xfId="61" builtinId="53" customBuiltin="1"/>
    <cellStyle name="解释性文本 2" xfId="120"/>
    <cellStyle name="警告文本" xfId="62" builtinId="11" customBuiltin="1"/>
    <cellStyle name="警告文本 2" xfId="121"/>
    <cellStyle name="链接单元格" xfId="63" builtinId="24" customBuiltin="1"/>
    <cellStyle name="链接单元格 2" xfId="122"/>
    <cellStyle name="千位分隔" xfId="64" builtinId="3"/>
    <cellStyle name="千位分隔 2" xfId="75"/>
    <cellStyle name="千位分隔 2 2" xfId="123"/>
    <cellStyle name="千位分隔 3" xfId="77"/>
    <cellStyle name="千位分隔 4" xfId="124"/>
    <cellStyle name="千位分隔 5" xfId="125"/>
    <cellStyle name="千位分隔 6" xfId="139"/>
    <cellStyle name="强调文字颜色 1" xfId="65" builtinId="29" customBuiltin="1"/>
    <cellStyle name="强调文字颜色 1 2" xfId="126"/>
    <cellStyle name="强调文字颜色 2" xfId="66" builtinId="33" customBuiltin="1"/>
    <cellStyle name="强调文字颜色 2 2" xfId="127"/>
    <cellStyle name="强调文字颜色 3" xfId="67" builtinId="37" customBuiltin="1"/>
    <cellStyle name="强调文字颜色 3 2" xfId="128"/>
    <cellStyle name="强调文字颜色 4" xfId="68" builtinId="41" customBuiltin="1"/>
    <cellStyle name="强调文字颜色 4 2" xfId="129"/>
    <cellStyle name="强调文字颜色 5" xfId="69" builtinId="45" customBuiltin="1"/>
    <cellStyle name="强调文字颜色 5 2" xfId="130"/>
    <cellStyle name="强调文字颜色 6" xfId="70" builtinId="49" customBuiltin="1"/>
    <cellStyle name="强调文字颜色 6 2" xfId="131"/>
    <cellStyle name="适中" xfId="71" builtinId="28" customBuiltin="1"/>
    <cellStyle name="适中 2" xfId="132"/>
    <cellStyle name="输出" xfId="72" builtinId="21" customBuiltin="1"/>
    <cellStyle name="输出 2" xfId="133"/>
    <cellStyle name="输入" xfId="73" builtinId="20" customBuiltin="1"/>
    <cellStyle name="输入 2" xfId="134"/>
    <cellStyle name="样式 1" xfId="1"/>
    <cellStyle name="注释" xfId="74" builtinId="10" customBuiltin="1"/>
    <cellStyle name="注释 2" xfId="13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"/>
  <sheetViews>
    <sheetView topLeftCell="A10" workbookViewId="0">
      <selection activeCell="V26" sqref="V26"/>
    </sheetView>
  </sheetViews>
  <sheetFormatPr defaultRowHeight="14.25"/>
  <sheetData>
    <row r="19" spans="1:1" ht="35.25">
      <c r="A19" s="634" t="s">
        <v>2149</v>
      </c>
    </row>
  </sheetData>
  <phoneticPr fontId="2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3" sqref="J13"/>
    </sheetView>
  </sheetViews>
  <sheetFormatPr defaultRowHeight="13.5"/>
  <cols>
    <col min="1" max="2" width="13.25" style="662" customWidth="1"/>
    <col min="3" max="4" width="13.75" style="662" customWidth="1"/>
    <col min="5" max="5" width="13.75" style="662" hidden="1" customWidth="1"/>
    <col min="6" max="7" width="13.75" style="662" customWidth="1"/>
    <col min="8" max="256" width="9" style="662"/>
    <col min="257" max="258" width="13.25" style="662" customWidth="1"/>
    <col min="259" max="260" width="13.75" style="662" customWidth="1"/>
    <col min="261" max="261" width="0" style="662" hidden="1" customWidth="1"/>
    <col min="262" max="263" width="13.75" style="662" customWidth="1"/>
    <col min="264" max="512" width="9" style="662"/>
    <col min="513" max="514" width="13.25" style="662" customWidth="1"/>
    <col min="515" max="516" width="13.75" style="662" customWidth="1"/>
    <col min="517" max="517" width="0" style="662" hidden="1" customWidth="1"/>
    <col min="518" max="519" width="13.75" style="662" customWidth="1"/>
    <col min="520" max="768" width="9" style="662"/>
    <col min="769" max="770" width="13.25" style="662" customWidth="1"/>
    <col min="771" max="772" width="13.75" style="662" customWidth="1"/>
    <col min="773" max="773" width="0" style="662" hidden="1" customWidth="1"/>
    <col min="774" max="775" width="13.75" style="662" customWidth="1"/>
    <col min="776" max="1024" width="9" style="662"/>
    <col min="1025" max="1026" width="13.25" style="662" customWidth="1"/>
    <col min="1027" max="1028" width="13.75" style="662" customWidth="1"/>
    <col min="1029" max="1029" width="0" style="662" hidden="1" customWidth="1"/>
    <col min="1030" max="1031" width="13.75" style="662" customWidth="1"/>
    <col min="1032" max="1280" width="9" style="662"/>
    <col min="1281" max="1282" width="13.25" style="662" customWidth="1"/>
    <col min="1283" max="1284" width="13.75" style="662" customWidth="1"/>
    <col min="1285" max="1285" width="0" style="662" hidden="1" customWidth="1"/>
    <col min="1286" max="1287" width="13.75" style="662" customWidth="1"/>
    <col min="1288" max="1536" width="9" style="662"/>
    <col min="1537" max="1538" width="13.25" style="662" customWidth="1"/>
    <col min="1539" max="1540" width="13.75" style="662" customWidth="1"/>
    <col min="1541" max="1541" width="0" style="662" hidden="1" customWidth="1"/>
    <col min="1542" max="1543" width="13.75" style="662" customWidth="1"/>
    <col min="1544" max="1792" width="9" style="662"/>
    <col min="1793" max="1794" width="13.25" style="662" customWidth="1"/>
    <col min="1795" max="1796" width="13.75" style="662" customWidth="1"/>
    <col min="1797" max="1797" width="0" style="662" hidden="1" customWidth="1"/>
    <col min="1798" max="1799" width="13.75" style="662" customWidth="1"/>
    <col min="1800" max="2048" width="9" style="662"/>
    <col min="2049" max="2050" width="13.25" style="662" customWidth="1"/>
    <col min="2051" max="2052" width="13.75" style="662" customWidth="1"/>
    <col min="2053" max="2053" width="0" style="662" hidden="1" customWidth="1"/>
    <col min="2054" max="2055" width="13.75" style="662" customWidth="1"/>
    <col min="2056" max="2304" width="9" style="662"/>
    <col min="2305" max="2306" width="13.25" style="662" customWidth="1"/>
    <col min="2307" max="2308" width="13.75" style="662" customWidth="1"/>
    <col min="2309" max="2309" width="0" style="662" hidden="1" customWidth="1"/>
    <col min="2310" max="2311" width="13.75" style="662" customWidth="1"/>
    <col min="2312" max="2560" width="9" style="662"/>
    <col min="2561" max="2562" width="13.25" style="662" customWidth="1"/>
    <col min="2563" max="2564" width="13.75" style="662" customWidth="1"/>
    <col min="2565" max="2565" width="0" style="662" hidden="1" customWidth="1"/>
    <col min="2566" max="2567" width="13.75" style="662" customWidth="1"/>
    <col min="2568" max="2816" width="9" style="662"/>
    <col min="2817" max="2818" width="13.25" style="662" customWidth="1"/>
    <col min="2819" max="2820" width="13.75" style="662" customWidth="1"/>
    <col min="2821" max="2821" width="0" style="662" hidden="1" customWidth="1"/>
    <col min="2822" max="2823" width="13.75" style="662" customWidth="1"/>
    <col min="2824" max="3072" width="9" style="662"/>
    <col min="3073" max="3074" width="13.25" style="662" customWidth="1"/>
    <col min="3075" max="3076" width="13.75" style="662" customWidth="1"/>
    <col min="3077" max="3077" width="0" style="662" hidden="1" customWidth="1"/>
    <col min="3078" max="3079" width="13.75" style="662" customWidth="1"/>
    <col min="3080" max="3328" width="9" style="662"/>
    <col min="3329" max="3330" width="13.25" style="662" customWidth="1"/>
    <col min="3331" max="3332" width="13.75" style="662" customWidth="1"/>
    <col min="3333" max="3333" width="0" style="662" hidden="1" customWidth="1"/>
    <col min="3334" max="3335" width="13.75" style="662" customWidth="1"/>
    <col min="3336" max="3584" width="9" style="662"/>
    <col min="3585" max="3586" width="13.25" style="662" customWidth="1"/>
    <col min="3587" max="3588" width="13.75" style="662" customWidth="1"/>
    <col min="3589" max="3589" width="0" style="662" hidden="1" customWidth="1"/>
    <col min="3590" max="3591" width="13.75" style="662" customWidth="1"/>
    <col min="3592" max="3840" width="9" style="662"/>
    <col min="3841" max="3842" width="13.25" style="662" customWidth="1"/>
    <col min="3843" max="3844" width="13.75" style="662" customWidth="1"/>
    <col min="3845" max="3845" width="0" style="662" hidden="1" customWidth="1"/>
    <col min="3846" max="3847" width="13.75" style="662" customWidth="1"/>
    <col min="3848" max="4096" width="9" style="662"/>
    <col min="4097" max="4098" width="13.25" style="662" customWidth="1"/>
    <col min="4099" max="4100" width="13.75" style="662" customWidth="1"/>
    <col min="4101" max="4101" width="0" style="662" hidden="1" customWidth="1"/>
    <col min="4102" max="4103" width="13.75" style="662" customWidth="1"/>
    <col min="4104" max="4352" width="9" style="662"/>
    <col min="4353" max="4354" width="13.25" style="662" customWidth="1"/>
    <col min="4355" max="4356" width="13.75" style="662" customWidth="1"/>
    <col min="4357" max="4357" width="0" style="662" hidden="1" customWidth="1"/>
    <col min="4358" max="4359" width="13.75" style="662" customWidth="1"/>
    <col min="4360" max="4608" width="9" style="662"/>
    <col min="4609" max="4610" width="13.25" style="662" customWidth="1"/>
    <col min="4611" max="4612" width="13.75" style="662" customWidth="1"/>
    <col min="4613" max="4613" width="0" style="662" hidden="1" customWidth="1"/>
    <col min="4614" max="4615" width="13.75" style="662" customWidth="1"/>
    <col min="4616" max="4864" width="9" style="662"/>
    <col min="4865" max="4866" width="13.25" style="662" customWidth="1"/>
    <col min="4867" max="4868" width="13.75" style="662" customWidth="1"/>
    <col min="4869" max="4869" width="0" style="662" hidden="1" customWidth="1"/>
    <col min="4870" max="4871" width="13.75" style="662" customWidth="1"/>
    <col min="4872" max="5120" width="9" style="662"/>
    <col min="5121" max="5122" width="13.25" style="662" customWidth="1"/>
    <col min="5123" max="5124" width="13.75" style="662" customWidth="1"/>
    <col min="5125" max="5125" width="0" style="662" hidden="1" customWidth="1"/>
    <col min="5126" max="5127" width="13.75" style="662" customWidth="1"/>
    <col min="5128" max="5376" width="9" style="662"/>
    <col min="5377" max="5378" width="13.25" style="662" customWidth="1"/>
    <col min="5379" max="5380" width="13.75" style="662" customWidth="1"/>
    <col min="5381" max="5381" width="0" style="662" hidden="1" customWidth="1"/>
    <col min="5382" max="5383" width="13.75" style="662" customWidth="1"/>
    <col min="5384" max="5632" width="9" style="662"/>
    <col min="5633" max="5634" width="13.25" style="662" customWidth="1"/>
    <col min="5635" max="5636" width="13.75" style="662" customWidth="1"/>
    <col min="5637" max="5637" width="0" style="662" hidden="1" customWidth="1"/>
    <col min="5638" max="5639" width="13.75" style="662" customWidth="1"/>
    <col min="5640" max="5888" width="9" style="662"/>
    <col min="5889" max="5890" width="13.25" style="662" customWidth="1"/>
    <col min="5891" max="5892" width="13.75" style="662" customWidth="1"/>
    <col min="5893" max="5893" width="0" style="662" hidden="1" customWidth="1"/>
    <col min="5894" max="5895" width="13.75" style="662" customWidth="1"/>
    <col min="5896" max="6144" width="9" style="662"/>
    <col min="6145" max="6146" width="13.25" style="662" customWidth="1"/>
    <col min="6147" max="6148" width="13.75" style="662" customWidth="1"/>
    <col min="6149" max="6149" width="0" style="662" hidden="1" customWidth="1"/>
    <col min="6150" max="6151" width="13.75" style="662" customWidth="1"/>
    <col min="6152" max="6400" width="9" style="662"/>
    <col min="6401" max="6402" width="13.25" style="662" customWidth="1"/>
    <col min="6403" max="6404" width="13.75" style="662" customWidth="1"/>
    <col min="6405" max="6405" width="0" style="662" hidden="1" customWidth="1"/>
    <col min="6406" max="6407" width="13.75" style="662" customWidth="1"/>
    <col min="6408" max="6656" width="9" style="662"/>
    <col min="6657" max="6658" width="13.25" style="662" customWidth="1"/>
    <col min="6659" max="6660" width="13.75" style="662" customWidth="1"/>
    <col min="6661" max="6661" width="0" style="662" hidden="1" customWidth="1"/>
    <col min="6662" max="6663" width="13.75" style="662" customWidth="1"/>
    <col min="6664" max="6912" width="9" style="662"/>
    <col min="6913" max="6914" width="13.25" style="662" customWidth="1"/>
    <col min="6915" max="6916" width="13.75" style="662" customWidth="1"/>
    <col min="6917" max="6917" width="0" style="662" hidden="1" customWidth="1"/>
    <col min="6918" max="6919" width="13.75" style="662" customWidth="1"/>
    <col min="6920" max="7168" width="9" style="662"/>
    <col min="7169" max="7170" width="13.25" style="662" customWidth="1"/>
    <col min="7171" max="7172" width="13.75" style="662" customWidth="1"/>
    <col min="7173" max="7173" width="0" style="662" hidden="1" customWidth="1"/>
    <col min="7174" max="7175" width="13.75" style="662" customWidth="1"/>
    <col min="7176" max="7424" width="9" style="662"/>
    <col min="7425" max="7426" width="13.25" style="662" customWidth="1"/>
    <col min="7427" max="7428" width="13.75" style="662" customWidth="1"/>
    <col min="7429" max="7429" width="0" style="662" hidden="1" customWidth="1"/>
    <col min="7430" max="7431" width="13.75" style="662" customWidth="1"/>
    <col min="7432" max="7680" width="9" style="662"/>
    <col min="7681" max="7682" width="13.25" style="662" customWidth="1"/>
    <col min="7683" max="7684" width="13.75" style="662" customWidth="1"/>
    <col min="7685" max="7685" width="0" style="662" hidden="1" customWidth="1"/>
    <col min="7686" max="7687" width="13.75" style="662" customWidth="1"/>
    <col min="7688" max="7936" width="9" style="662"/>
    <col min="7937" max="7938" width="13.25" style="662" customWidth="1"/>
    <col min="7939" max="7940" width="13.75" style="662" customWidth="1"/>
    <col min="7941" max="7941" width="0" style="662" hidden="1" customWidth="1"/>
    <col min="7942" max="7943" width="13.75" style="662" customWidth="1"/>
    <col min="7944" max="8192" width="9" style="662"/>
    <col min="8193" max="8194" width="13.25" style="662" customWidth="1"/>
    <col min="8195" max="8196" width="13.75" style="662" customWidth="1"/>
    <col min="8197" max="8197" width="0" style="662" hidden="1" customWidth="1"/>
    <col min="8198" max="8199" width="13.75" style="662" customWidth="1"/>
    <col min="8200" max="8448" width="9" style="662"/>
    <col min="8449" max="8450" width="13.25" style="662" customWidth="1"/>
    <col min="8451" max="8452" width="13.75" style="662" customWidth="1"/>
    <col min="8453" max="8453" width="0" style="662" hidden="1" customWidth="1"/>
    <col min="8454" max="8455" width="13.75" style="662" customWidth="1"/>
    <col min="8456" max="8704" width="9" style="662"/>
    <col min="8705" max="8706" width="13.25" style="662" customWidth="1"/>
    <col min="8707" max="8708" width="13.75" style="662" customWidth="1"/>
    <col min="8709" max="8709" width="0" style="662" hidden="1" customWidth="1"/>
    <col min="8710" max="8711" width="13.75" style="662" customWidth="1"/>
    <col min="8712" max="8960" width="9" style="662"/>
    <col min="8961" max="8962" width="13.25" style="662" customWidth="1"/>
    <col min="8963" max="8964" width="13.75" style="662" customWidth="1"/>
    <col min="8965" max="8965" width="0" style="662" hidden="1" customWidth="1"/>
    <col min="8966" max="8967" width="13.75" style="662" customWidth="1"/>
    <col min="8968" max="9216" width="9" style="662"/>
    <col min="9217" max="9218" width="13.25" style="662" customWidth="1"/>
    <col min="9219" max="9220" width="13.75" style="662" customWidth="1"/>
    <col min="9221" max="9221" width="0" style="662" hidden="1" customWidth="1"/>
    <col min="9222" max="9223" width="13.75" style="662" customWidth="1"/>
    <col min="9224" max="9472" width="9" style="662"/>
    <col min="9473" max="9474" width="13.25" style="662" customWidth="1"/>
    <col min="9475" max="9476" width="13.75" style="662" customWidth="1"/>
    <col min="9477" max="9477" width="0" style="662" hidden="1" customWidth="1"/>
    <col min="9478" max="9479" width="13.75" style="662" customWidth="1"/>
    <col min="9480" max="9728" width="9" style="662"/>
    <col min="9729" max="9730" width="13.25" style="662" customWidth="1"/>
    <col min="9731" max="9732" width="13.75" style="662" customWidth="1"/>
    <col min="9733" max="9733" width="0" style="662" hidden="1" customWidth="1"/>
    <col min="9734" max="9735" width="13.75" style="662" customWidth="1"/>
    <col min="9736" max="9984" width="9" style="662"/>
    <col min="9985" max="9986" width="13.25" style="662" customWidth="1"/>
    <col min="9987" max="9988" width="13.75" style="662" customWidth="1"/>
    <col min="9989" max="9989" width="0" style="662" hidden="1" customWidth="1"/>
    <col min="9990" max="9991" width="13.75" style="662" customWidth="1"/>
    <col min="9992" max="10240" width="9" style="662"/>
    <col min="10241" max="10242" width="13.25" style="662" customWidth="1"/>
    <col min="10243" max="10244" width="13.75" style="662" customWidth="1"/>
    <col min="10245" max="10245" width="0" style="662" hidden="1" customWidth="1"/>
    <col min="10246" max="10247" width="13.75" style="662" customWidth="1"/>
    <col min="10248" max="10496" width="9" style="662"/>
    <col min="10497" max="10498" width="13.25" style="662" customWidth="1"/>
    <col min="10499" max="10500" width="13.75" style="662" customWidth="1"/>
    <col min="10501" max="10501" width="0" style="662" hidden="1" customWidth="1"/>
    <col min="10502" max="10503" width="13.75" style="662" customWidth="1"/>
    <col min="10504" max="10752" width="9" style="662"/>
    <col min="10753" max="10754" width="13.25" style="662" customWidth="1"/>
    <col min="10755" max="10756" width="13.75" style="662" customWidth="1"/>
    <col min="10757" max="10757" width="0" style="662" hidden="1" customWidth="1"/>
    <col min="10758" max="10759" width="13.75" style="662" customWidth="1"/>
    <col min="10760" max="11008" width="9" style="662"/>
    <col min="11009" max="11010" width="13.25" style="662" customWidth="1"/>
    <col min="11011" max="11012" width="13.75" style="662" customWidth="1"/>
    <col min="11013" max="11013" width="0" style="662" hidden="1" customWidth="1"/>
    <col min="11014" max="11015" width="13.75" style="662" customWidth="1"/>
    <col min="11016" max="11264" width="9" style="662"/>
    <col min="11265" max="11266" width="13.25" style="662" customWidth="1"/>
    <col min="11267" max="11268" width="13.75" style="662" customWidth="1"/>
    <col min="11269" max="11269" width="0" style="662" hidden="1" customWidth="1"/>
    <col min="11270" max="11271" width="13.75" style="662" customWidth="1"/>
    <col min="11272" max="11520" width="9" style="662"/>
    <col min="11521" max="11522" width="13.25" style="662" customWidth="1"/>
    <col min="11523" max="11524" width="13.75" style="662" customWidth="1"/>
    <col min="11525" max="11525" width="0" style="662" hidden="1" customWidth="1"/>
    <col min="11526" max="11527" width="13.75" style="662" customWidth="1"/>
    <col min="11528" max="11776" width="9" style="662"/>
    <col min="11777" max="11778" width="13.25" style="662" customWidth="1"/>
    <col min="11779" max="11780" width="13.75" style="662" customWidth="1"/>
    <col min="11781" max="11781" width="0" style="662" hidden="1" customWidth="1"/>
    <col min="11782" max="11783" width="13.75" style="662" customWidth="1"/>
    <col min="11784" max="12032" width="9" style="662"/>
    <col min="12033" max="12034" width="13.25" style="662" customWidth="1"/>
    <col min="12035" max="12036" width="13.75" style="662" customWidth="1"/>
    <col min="12037" max="12037" width="0" style="662" hidden="1" customWidth="1"/>
    <col min="12038" max="12039" width="13.75" style="662" customWidth="1"/>
    <col min="12040" max="12288" width="9" style="662"/>
    <col min="12289" max="12290" width="13.25" style="662" customWidth="1"/>
    <col min="12291" max="12292" width="13.75" style="662" customWidth="1"/>
    <col min="12293" max="12293" width="0" style="662" hidden="1" customWidth="1"/>
    <col min="12294" max="12295" width="13.75" style="662" customWidth="1"/>
    <col min="12296" max="12544" width="9" style="662"/>
    <col min="12545" max="12546" width="13.25" style="662" customWidth="1"/>
    <col min="12547" max="12548" width="13.75" style="662" customWidth="1"/>
    <col min="12549" max="12549" width="0" style="662" hidden="1" customWidth="1"/>
    <col min="12550" max="12551" width="13.75" style="662" customWidth="1"/>
    <col min="12552" max="12800" width="9" style="662"/>
    <col min="12801" max="12802" width="13.25" style="662" customWidth="1"/>
    <col min="12803" max="12804" width="13.75" style="662" customWidth="1"/>
    <col min="12805" max="12805" width="0" style="662" hidden="1" customWidth="1"/>
    <col min="12806" max="12807" width="13.75" style="662" customWidth="1"/>
    <col min="12808" max="13056" width="9" style="662"/>
    <col min="13057" max="13058" width="13.25" style="662" customWidth="1"/>
    <col min="13059" max="13060" width="13.75" style="662" customWidth="1"/>
    <col min="13061" max="13061" width="0" style="662" hidden="1" customWidth="1"/>
    <col min="13062" max="13063" width="13.75" style="662" customWidth="1"/>
    <col min="13064" max="13312" width="9" style="662"/>
    <col min="13313" max="13314" width="13.25" style="662" customWidth="1"/>
    <col min="13315" max="13316" width="13.75" style="662" customWidth="1"/>
    <col min="13317" max="13317" width="0" style="662" hidden="1" customWidth="1"/>
    <col min="13318" max="13319" width="13.75" style="662" customWidth="1"/>
    <col min="13320" max="13568" width="9" style="662"/>
    <col min="13569" max="13570" width="13.25" style="662" customWidth="1"/>
    <col min="13571" max="13572" width="13.75" style="662" customWidth="1"/>
    <col min="13573" max="13573" width="0" style="662" hidden="1" customWidth="1"/>
    <col min="13574" max="13575" width="13.75" style="662" customWidth="1"/>
    <col min="13576" max="13824" width="9" style="662"/>
    <col min="13825" max="13826" width="13.25" style="662" customWidth="1"/>
    <col min="13827" max="13828" width="13.75" style="662" customWidth="1"/>
    <col min="13829" max="13829" width="0" style="662" hidden="1" customWidth="1"/>
    <col min="13830" max="13831" width="13.75" style="662" customWidth="1"/>
    <col min="13832" max="14080" width="9" style="662"/>
    <col min="14081" max="14082" width="13.25" style="662" customWidth="1"/>
    <col min="14083" max="14084" width="13.75" style="662" customWidth="1"/>
    <col min="14085" max="14085" width="0" style="662" hidden="1" customWidth="1"/>
    <col min="14086" max="14087" width="13.75" style="662" customWidth="1"/>
    <col min="14088" max="14336" width="9" style="662"/>
    <col min="14337" max="14338" width="13.25" style="662" customWidth="1"/>
    <col min="14339" max="14340" width="13.75" style="662" customWidth="1"/>
    <col min="14341" max="14341" width="0" style="662" hidden="1" customWidth="1"/>
    <col min="14342" max="14343" width="13.75" style="662" customWidth="1"/>
    <col min="14344" max="14592" width="9" style="662"/>
    <col min="14593" max="14594" width="13.25" style="662" customWidth="1"/>
    <col min="14595" max="14596" width="13.75" style="662" customWidth="1"/>
    <col min="14597" max="14597" width="0" style="662" hidden="1" customWidth="1"/>
    <col min="14598" max="14599" width="13.75" style="662" customWidth="1"/>
    <col min="14600" max="14848" width="9" style="662"/>
    <col min="14849" max="14850" width="13.25" style="662" customWidth="1"/>
    <col min="14851" max="14852" width="13.75" style="662" customWidth="1"/>
    <col min="14853" max="14853" width="0" style="662" hidden="1" customWidth="1"/>
    <col min="14854" max="14855" width="13.75" style="662" customWidth="1"/>
    <col min="14856" max="15104" width="9" style="662"/>
    <col min="15105" max="15106" width="13.25" style="662" customWidth="1"/>
    <col min="15107" max="15108" width="13.75" style="662" customWidth="1"/>
    <col min="15109" max="15109" width="0" style="662" hidden="1" customWidth="1"/>
    <col min="15110" max="15111" width="13.75" style="662" customWidth="1"/>
    <col min="15112" max="15360" width="9" style="662"/>
    <col min="15361" max="15362" width="13.25" style="662" customWidth="1"/>
    <col min="15363" max="15364" width="13.75" style="662" customWidth="1"/>
    <col min="15365" max="15365" width="0" style="662" hidden="1" customWidth="1"/>
    <col min="15366" max="15367" width="13.75" style="662" customWidth="1"/>
    <col min="15368" max="15616" width="9" style="662"/>
    <col min="15617" max="15618" width="13.25" style="662" customWidth="1"/>
    <col min="15619" max="15620" width="13.75" style="662" customWidth="1"/>
    <col min="15621" max="15621" width="0" style="662" hidden="1" customWidth="1"/>
    <col min="15622" max="15623" width="13.75" style="662" customWidth="1"/>
    <col min="15624" max="15872" width="9" style="662"/>
    <col min="15873" max="15874" width="13.25" style="662" customWidth="1"/>
    <col min="15875" max="15876" width="13.75" style="662" customWidth="1"/>
    <col min="15877" max="15877" width="0" style="662" hidden="1" customWidth="1"/>
    <col min="15878" max="15879" width="13.75" style="662" customWidth="1"/>
    <col min="15880" max="16128" width="9" style="662"/>
    <col min="16129" max="16130" width="13.25" style="662" customWidth="1"/>
    <col min="16131" max="16132" width="13.75" style="662" customWidth="1"/>
    <col min="16133" max="16133" width="0" style="662" hidden="1" customWidth="1"/>
    <col min="16134" max="16135" width="13.75" style="662" customWidth="1"/>
    <col min="16136" max="16384" width="9" style="662"/>
  </cols>
  <sheetData>
    <row r="1" spans="1:7" ht="31.5" customHeight="1">
      <c r="A1" s="697" t="s">
        <v>2188</v>
      </c>
      <c r="B1" s="697"/>
      <c r="C1" s="697"/>
      <c r="D1" s="697"/>
      <c r="E1" s="697"/>
      <c r="F1" s="697"/>
      <c r="G1" s="697"/>
    </row>
    <row r="2" spans="1:7" s="666" customFormat="1" ht="21.75" customHeight="1">
      <c r="A2" s="663"/>
      <c r="B2" s="663"/>
      <c r="C2" s="663"/>
      <c r="D2" s="698"/>
      <c r="E2" s="698"/>
      <c r="F2" s="664"/>
      <c r="G2" s="665" t="s">
        <v>2189</v>
      </c>
    </row>
    <row r="3" spans="1:7" s="666" customFormat="1" ht="22.9" customHeight="1">
      <c r="A3" s="699" t="s">
        <v>2190</v>
      </c>
      <c r="B3" s="699" t="s">
        <v>2191</v>
      </c>
      <c r="C3" s="700" t="s">
        <v>2192</v>
      </c>
      <c r="D3" s="700"/>
      <c r="E3" s="700"/>
      <c r="F3" s="700"/>
      <c r="G3" s="700"/>
    </row>
    <row r="4" spans="1:7" s="666" customFormat="1" ht="22.9" customHeight="1">
      <c r="A4" s="699"/>
      <c r="B4" s="699"/>
      <c r="C4" s="700" t="s">
        <v>2193</v>
      </c>
      <c r="D4" s="700"/>
      <c r="E4" s="700"/>
      <c r="F4" s="700"/>
      <c r="G4" s="700"/>
    </row>
    <row r="5" spans="1:7" s="666" customFormat="1" ht="46.15" customHeight="1">
      <c r="A5" s="699"/>
      <c r="B5" s="699"/>
      <c r="C5" s="667" t="s">
        <v>2194</v>
      </c>
      <c r="D5" s="701" t="s">
        <v>2195</v>
      </c>
      <c r="E5" s="702"/>
      <c r="F5" s="667" t="s">
        <v>2196</v>
      </c>
      <c r="G5" s="667" t="s">
        <v>2197</v>
      </c>
    </row>
    <row r="6" spans="1:7" s="666" customFormat="1" ht="31.15" customHeight="1">
      <c r="A6" s="668" t="s">
        <v>2198</v>
      </c>
      <c r="B6" s="669" t="s">
        <v>2199</v>
      </c>
      <c r="C6" s="670">
        <f>C7+C8</f>
        <v>159.5</v>
      </c>
      <c r="D6" s="695">
        <v>151</v>
      </c>
      <c r="E6" s="696"/>
      <c r="F6" s="670">
        <f>F7+F8</f>
        <v>0.2</v>
      </c>
      <c r="G6" s="670">
        <f>G7+G8</f>
        <v>8.3000000000000007</v>
      </c>
    </row>
    <row r="7" spans="1:7" s="666" customFormat="1" ht="21.75" customHeight="1">
      <c r="A7" s="671" t="s">
        <v>2200</v>
      </c>
      <c r="B7" s="672" t="s">
        <v>2201</v>
      </c>
      <c r="C7" s="670">
        <f>D7+E7+F7+G7</f>
        <v>110.60000000000001</v>
      </c>
      <c r="D7" s="695">
        <v>108.4</v>
      </c>
      <c r="E7" s="696"/>
      <c r="F7" s="670"/>
      <c r="G7" s="670">
        <v>2.2000000000000002</v>
      </c>
    </row>
    <row r="8" spans="1:7" s="666" customFormat="1" ht="21.75" customHeight="1">
      <c r="A8" s="671" t="s">
        <v>2202</v>
      </c>
      <c r="B8" s="672" t="s">
        <v>2203</v>
      </c>
      <c r="C8" s="670">
        <f>SUM(C9:C13)</f>
        <v>48.9</v>
      </c>
      <c r="D8" s="695">
        <v>42.6</v>
      </c>
      <c r="E8" s="696"/>
      <c r="F8" s="670">
        <f>SUM(F9:F13)</f>
        <v>0.2</v>
      </c>
      <c r="G8" s="670">
        <f>SUM(G9:G13)</f>
        <v>6.1</v>
      </c>
    </row>
    <row r="9" spans="1:7" s="666" customFormat="1" ht="21.75" customHeight="1">
      <c r="A9" s="671">
        <v>1</v>
      </c>
      <c r="B9" s="672" t="s">
        <v>2204</v>
      </c>
      <c r="C9" s="670">
        <f>D9+E9+F9+G9</f>
        <v>9.3000000000000007</v>
      </c>
      <c r="D9" s="695">
        <v>9.3000000000000007</v>
      </c>
      <c r="E9" s="696"/>
      <c r="F9" s="670"/>
      <c r="G9" s="670"/>
    </row>
    <row r="10" spans="1:7" s="666" customFormat="1" ht="21.75" customHeight="1">
      <c r="A10" s="671">
        <v>2</v>
      </c>
      <c r="B10" s="672" t="s">
        <v>2205</v>
      </c>
      <c r="C10" s="670">
        <f>D10+E10+F10+G10</f>
        <v>31.2</v>
      </c>
      <c r="D10" s="695">
        <v>31.2</v>
      </c>
      <c r="E10" s="696"/>
      <c r="F10" s="670"/>
      <c r="G10" s="670"/>
    </row>
    <row r="11" spans="1:7" s="666" customFormat="1" ht="21.75" customHeight="1">
      <c r="A11" s="671">
        <v>3</v>
      </c>
      <c r="B11" s="672" t="s">
        <v>2206</v>
      </c>
      <c r="C11" s="670">
        <f>D11+E11+F11+G11</f>
        <v>6.3</v>
      </c>
      <c r="D11" s="695"/>
      <c r="E11" s="696"/>
      <c r="F11" s="670">
        <v>0.2</v>
      </c>
      <c r="G11" s="670">
        <v>6.1</v>
      </c>
    </row>
    <row r="12" spans="1:7" s="666" customFormat="1" ht="21.75" customHeight="1">
      <c r="A12" s="671">
        <v>4</v>
      </c>
      <c r="B12" s="672" t="s">
        <v>2207</v>
      </c>
      <c r="C12" s="670">
        <f>D12+E12+F12+G12</f>
        <v>1.5</v>
      </c>
      <c r="D12" s="695">
        <v>1.5</v>
      </c>
      <c r="E12" s="696"/>
      <c r="F12" s="670"/>
      <c r="G12" s="670"/>
    </row>
    <row r="13" spans="1:7" s="666" customFormat="1" ht="21.75" customHeight="1">
      <c r="A13" s="671">
        <v>5</v>
      </c>
      <c r="B13" s="672" t="s">
        <v>2208</v>
      </c>
      <c r="C13" s="670">
        <f>D13+E13+F13+G13</f>
        <v>0.6</v>
      </c>
      <c r="D13" s="695">
        <v>0.6</v>
      </c>
      <c r="E13" s="696"/>
      <c r="F13" s="673"/>
      <c r="G13" s="673"/>
    </row>
  </sheetData>
  <mergeCells count="15">
    <mergeCell ref="A1:G1"/>
    <mergeCell ref="D2:E2"/>
    <mergeCell ref="A3:A5"/>
    <mergeCell ref="B3:B5"/>
    <mergeCell ref="C3:G3"/>
    <mergeCell ref="C4:G4"/>
    <mergeCell ref="D5:E5"/>
    <mergeCell ref="D12:E12"/>
    <mergeCell ref="D13:E13"/>
    <mergeCell ref="D6:E6"/>
    <mergeCell ref="D7:E7"/>
    <mergeCell ref="D8:E8"/>
    <mergeCell ref="D9:E9"/>
    <mergeCell ref="D10:E10"/>
    <mergeCell ref="D11:E11"/>
  </mergeCells>
  <phoneticPr fontId="98" type="noConversion"/>
  <printOptions horizontalCentered="1"/>
  <pageMargins left="0" right="0" top="0.74803149606299213" bottom="0.74803149606299213" header="0.31496062992125984" footer="0.31496062992125984"/>
  <pageSetup paperSize="9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9"/>
  <sheetViews>
    <sheetView workbookViewId="0">
      <selection activeCell="F41" sqref="F41"/>
    </sheetView>
  </sheetViews>
  <sheetFormatPr defaultRowHeight="14.25"/>
  <sheetData>
    <row r="19" spans="2:2" ht="35.25">
      <c r="B19" s="634" t="s">
        <v>2150</v>
      </c>
    </row>
  </sheetData>
  <phoneticPr fontId="2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8"/>
  <sheetViews>
    <sheetView showZeros="0" workbookViewId="0">
      <pane xSplit="1" ySplit="3" topLeftCell="G37" activePane="bottomRight" state="frozen"/>
      <selection pane="topRight" activeCell="B1" sqref="B1"/>
      <selection pane="bottomLeft" activeCell="A4" sqref="A4"/>
      <selection pane="bottomRight" activeCell="M85" sqref="M85"/>
    </sheetView>
  </sheetViews>
  <sheetFormatPr defaultColWidth="8.75" defaultRowHeight="14.25"/>
  <cols>
    <col min="1" max="1" width="31.75" style="15" customWidth="1"/>
    <col min="2" max="2" width="10.5" style="15" bestFit="1" customWidth="1"/>
    <col min="3" max="3" width="13" style="15" customWidth="1"/>
    <col min="4" max="4" width="13.875" style="15" bestFit="1" customWidth="1"/>
    <col min="5" max="5" width="9" style="15" customWidth="1"/>
    <col min="6" max="6" width="11.75" style="17" customWidth="1"/>
    <col min="7" max="7" width="10.625" style="15" customWidth="1"/>
    <col min="8" max="8" width="30.125" style="15" customWidth="1"/>
    <col min="9" max="9" width="10.5" style="16" bestFit="1" customWidth="1"/>
    <col min="10" max="10" width="13" style="16" customWidth="1"/>
    <col min="11" max="11" width="13.875" style="17" bestFit="1" customWidth="1"/>
    <col min="12" max="12" width="9.25" style="15" customWidth="1"/>
    <col min="13" max="13" width="12.75" style="18" bestFit="1" customWidth="1"/>
    <col min="14" max="14" width="11.75" style="15" customWidth="1"/>
    <col min="15" max="16384" width="8.75" style="15"/>
  </cols>
  <sheetData>
    <row r="1" spans="1:14" ht="33" customHeight="1">
      <c r="A1" s="703" t="s">
        <v>1279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</row>
    <row r="2" spans="1:14" ht="21" customHeight="1">
      <c r="A2" s="14"/>
      <c r="B2" s="14"/>
      <c r="C2" s="14"/>
      <c r="D2" s="14"/>
      <c r="E2" s="14"/>
      <c r="F2" s="7"/>
      <c r="G2" s="8"/>
      <c r="H2" s="8"/>
      <c r="I2" s="8"/>
      <c r="J2" s="8"/>
      <c r="K2" s="7"/>
      <c r="L2" s="8"/>
      <c r="M2" s="7"/>
      <c r="N2" s="6" t="s">
        <v>925</v>
      </c>
    </row>
    <row r="3" spans="1:14" ht="36">
      <c r="A3" s="72" t="s">
        <v>1461</v>
      </c>
      <c r="B3" s="73" t="s">
        <v>1462</v>
      </c>
      <c r="C3" s="73" t="s">
        <v>1463</v>
      </c>
      <c r="D3" s="73" t="s">
        <v>1464</v>
      </c>
      <c r="E3" s="73" t="s">
        <v>1465</v>
      </c>
      <c r="F3" s="74" t="s">
        <v>1466</v>
      </c>
      <c r="G3" s="73" t="s">
        <v>1467</v>
      </c>
      <c r="H3" s="190" t="s">
        <v>1461</v>
      </c>
      <c r="I3" s="73" t="s">
        <v>1462</v>
      </c>
      <c r="J3" s="73" t="s">
        <v>1463</v>
      </c>
      <c r="K3" s="73" t="s">
        <v>1464</v>
      </c>
      <c r="L3" s="73" t="s">
        <v>1465</v>
      </c>
      <c r="M3" s="74" t="s">
        <v>1466</v>
      </c>
      <c r="N3" s="73" t="s">
        <v>1467</v>
      </c>
    </row>
    <row r="4" spans="1:14" ht="21" customHeight="1">
      <c r="A4" s="174" t="s">
        <v>926</v>
      </c>
      <c r="B4" s="154"/>
      <c r="C4" s="154"/>
      <c r="D4" s="155"/>
      <c r="E4" s="156"/>
      <c r="F4" s="155"/>
      <c r="G4" s="156"/>
      <c r="H4" s="175" t="s">
        <v>927</v>
      </c>
      <c r="I4" s="157"/>
      <c r="J4" s="157"/>
      <c r="K4" s="158"/>
      <c r="L4" s="191" t="str">
        <f>+IF(ISERROR(K4/J4),"",(K4/J4))</f>
        <v/>
      </c>
      <c r="M4" s="158"/>
      <c r="N4" s="170"/>
    </row>
    <row r="5" spans="1:14" ht="21" customHeight="1">
      <c r="A5" s="176" t="s">
        <v>928</v>
      </c>
      <c r="B5" s="154"/>
      <c r="C5" s="154"/>
      <c r="D5" s="155"/>
      <c r="E5" s="156"/>
      <c r="F5" s="155"/>
      <c r="G5" s="156"/>
      <c r="H5" s="177" t="s">
        <v>929</v>
      </c>
      <c r="I5" s="154"/>
      <c r="J5" s="154"/>
      <c r="K5" s="159"/>
      <c r="L5" s="191" t="str">
        <f t="shared" ref="L5:L68" si="0">+IF(ISERROR(K5/J5),"",(K5/J5))</f>
        <v/>
      </c>
      <c r="M5" s="159"/>
      <c r="N5" s="185"/>
    </row>
    <row r="6" spans="1:14" ht="21" customHeight="1">
      <c r="A6" s="178" t="s">
        <v>930</v>
      </c>
      <c r="B6" s="87"/>
      <c r="C6" s="87"/>
      <c r="D6" s="87"/>
      <c r="E6" s="156"/>
      <c r="F6" s="87">
        <v>298262</v>
      </c>
      <c r="G6" s="156">
        <f>+D6/F6-1</f>
        <v>-1</v>
      </c>
      <c r="H6" s="177" t="s">
        <v>931</v>
      </c>
      <c r="I6" s="154"/>
      <c r="J6" s="154"/>
      <c r="K6" s="159"/>
      <c r="L6" s="191" t="str">
        <f t="shared" si="0"/>
        <v/>
      </c>
      <c r="M6" s="159"/>
      <c r="N6" s="185"/>
    </row>
    <row r="7" spans="1:14" ht="21" customHeight="1">
      <c r="A7" s="178" t="s">
        <v>932</v>
      </c>
      <c r="B7" s="87"/>
      <c r="C7" s="87"/>
      <c r="D7" s="87"/>
      <c r="E7" s="156"/>
      <c r="F7" s="87">
        <v>48217</v>
      </c>
      <c r="G7" s="156">
        <f t="shared" ref="G7:G41" si="1">+D7/F7-1</f>
        <v>-1</v>
      </c>
      <c r="H7" s="76" t="s">
        <v>2186</v>
      </c>
      <c r="I7" s="157"/>
      <c r="J7" s="157"/>
      <c r="K7" s="157"/>
      <c r="L7" s="166" t="str">
        <f t="shared" si="0"/>
        <v/>
      </c>
      <c r="M7" s="157">
        <f>M8</f>
        <v>24</v>
      </c>
      <c r="N7" s="170">
        <f>+K7/M7-1</f>
        <v>-1</v>
      </c>
    </row>
    <row r="8" spans="1:14" ht="21" customHeight="1">
      <c r="A8" s="179" t="s">
        <v>933</v>
      </c>
      <c r="B8" s="87"/>
      <c r="C8" s="87"/>
      <c r="D8" s="87"/>
      <c r="E8" s="156"/>
      <c r="F8" s="87">
        <v>48217</v>
      </c>
      <c r="G8" s="156">
        <f t="shared" si="1"/>
        <v>-1</v>
      </c>
      <c r="H8" s="86" t="s">
        <v>934</v>
      </c>
      <c r="I8" s="87"/>
      <c r="J8" s="87"/>
      <c r="K8" s="159"/>
      <c r="L8" s="191" t="str">
        <f t="shared" si="0"/>
        <v/>
      </c>
      <c r="M8" s="159">
        <v>24</v>
      </c>
      <c r="N8" s="185">
        <f t="shared" ref="N8:N79" si="2">+K8/M8-1</f>
        <v>-1</v>
      </c>
    </row>
    <row r="9" spans="1:14" ht="21" customHeight="1">
      <c r="A9" s="178" t="s">
        <v>935</v>
      </c>
      <c r="B9" s="87"/>
      <c r="C9" s="87"/>
      <c r="D9" s="87"/>
      <c r="E9" s="156"/>
      <c r="F9" s="87">
        <v>100808</v>
      </c>
      <c r="G9" s="156">
        <f t="shared" si="1"/>
        <v>-1</v>
      </c>
      <c r="H9" s="86" t="s">
        <v>936</v>
      </c>
      <c r="I9" s="87"/>
      <c r="J9" s="87"/>
      <c r="K9" s="159"/>
      <c r="L9" s="191" t="str">
        <f t="shared" si="0"/>
        <v/>
      </c>
      <c r="M9" s="159">
        <v>24</v>
      </c>
      <c r="N9" s="185">
        <f t="shared" si="2"/>
        <v>-1</v>
      </c>
    </row>
    <row r="10" spans="1:14" ht="21" customHeight="1">
      <c r="A10" s="178" t="s">
        <v>937</v>
      </c>
      <c r="B10" s="87">
        <v>153991</v>
      </c>
      <c r="C10" s="87">
        <v>153991</v>
      </c>
      <c r="D10" s="87">
        <v>515124</v>
      </c>
      <c r="E10" s="156">
        <f t="shared" ref="E10:E44" si="3">+D10/C10</f>
        <v>3.3451565351221824</v>
      </c>
      <c r="F10" s="87">
        <f>SUM(F12:F14)</f>
        <v>159429</v>
      </c>
      <c r="G10" s="156">
        <f t="shared" si="1"/>
        <v>2.2310558304950794</v>
      </c>
      <c r="H10" s="76" t="s">
        <v>938</v>
      </c>
      <c r="I10" s="158"/>
      <c r="J10" s="656">
        <v>3064</v>
      </c>
      <c r="K10" s="77">
        <v>3064</v>
      </c>
      <c r="L10" s="166">
        <f t="shared" si="0"/>
        <v>1</v>
      </c>
      <c r="M10" s="158">
        <v>37479</v>
      </c>
      <c r="N10" s="170">
        <f t="shared" si="2"/>
        <v>-0.91824755196243224</v>
      </c>
    </row>
    <row r="11" spans="1:14" ht="21" customHeight="1">
      <c r="A11" s="113" t="s">
        <v>1278</v>
      </c>
      <c r="B11" s="87"/>
      <c r="C11" s="87"/>
      <c r="D11" s="87">
        <v>49573</v>
      </c>
      <c r="E11" s="156"/>
      <c r="F11" s="87"/>
      <c r="G11" s="156"/>
      <c r="H11" s="86" t="s">
        <v>940</v>
      </c>
      <c r="I11" s="159"/>
      <c r="J11" s="159"/>
      <c r="K11" s="159"/>
      <c r="L11" s="191" t="str">
        <f t="shared" si="0"/>
        <v/>
      </c>
      <c r="M11" s="159">
        <v>37479</v>
      </c>
      <c r="N11" s="185">
        <f t="shared" si="2"/>
        <v>-1</v>
      </c>
    </row>
    <row r="12" spans="1:14" ht="24">
      <c r="A12" s="179" t="s">
        <v>939</v>
      </c>
      <c r="B12" s="160">
        <v>24697.55</v>
      </c>
      <c r="C12" s="160">
        <v>24697.55</v>
      </c>
      <c r="D12" s="87">
        <v>46555</v>
      </c>
      <c r="E12" s="156">
        <f t="shared" si="3"/>
        <v>1.8850047879243084</v>
      </c>
      <c r="F12" s="87">
        <v>35741</v>
      </c>
      <c r="G12" s="156">
        <f t="shared" si="1"/>
        <v>0.30256568087070868</v>
      </c>
      <c r="H12" s="102" t="s">
        <v>1455</v>
      </c>
      <c r="I12" s="87"/>
      <c r="J12" s="87"/>
      <c r="K12" s="159"/>
      <c r="L12" s="191" t="str">
        <f t="shared" si="0"/>
        <v/>
      </c>
      <c r="M12" s="159">
        <v>37479</v>
      </c>
      <c r="N12" s="185">
        <f t="shared" si="2"/>
        <v>-1</v>
      </c>
    </row>
    <row r="13" spans="1:14" ht="27.75" customHeight="1">
      <c r="A13" s="179" t="s">
        <v>941</v>
      </c>
      <c r="B13" s="160">
        <v>11055.93</v>
      </c>
      <c r="C13" s="160">
        <v>11055.93</v>
      </c>
      <c r="D13" s="87"/>
      <c r="E13" s="156"/>
      <c r="F13" s="87">
        <v>436</v>
      </c>
      <c r="G13" s="156">
        <f t="shared" si="1"/>
        <v>-1</v>
      </c>
      <c r="H13" s="181" t="s">
        <v>1460</v>
      </c>
      <c r="I13" s="87"/>
      <c r="J13" s="647">
        <v>3064</v>
      </c>
      <c r="K13" s="87">
        <v>3064</v>
      </c>
      <c r="L13" s="191">
        <f t="shared" si="0"/>
        <v>1</v>
      </c>
      <c r="M13" s="159"/>
      <c r="N13" s="185"/>
    </row>
    <row r="14" spans="1:14" ht="21" customHeight="1">
      <c r="A14" s="179" t="s">
        <v>942</v>
      </c>
      <c r="B14" s="160">
        <v>118237.46</v>
      </c>
      <c r="C14" s="160">
        <v>118237.46</v>
      </c>
      <c r="D14" s="87">
        <v>418996</v>
      </c>
      <c r="E14" s="156">
        <f t="shared" si="3"/>
        <v>3.5436823490626406</v>
      </c>
      <c r="F14" s="87">
        <v>123252</v>
      </c>
      <c r="G14" s="156">
        <f t="shared" si="1"/>
        <v>2.3995067017168079</v>
      </c>
      <c r="H14" s="181" t="s">
        <v>2139</v>
      </c>
      <c r="I14" s="87"/>
      <c r="J14" s="87"/>
      <c r="K14" s="87">
        <v>1560</v>
      </c>
      <c r="L14" s="191" t="str">
        <f t="shared" si="0"/>
        <v/>
      </c>
      <c r="M14" s="159"/>
      <c r="N14" s="185"/>
    </row>
    <row r="15" spans="1:14" ht="21" customHeight="1">
      <c r="A15" s="76" t="s">
        <v>944</v>
      </c>
      <c r="B15" s="87">
        <v>4969824</v>
      </c>
      <c r="C15" s="87">
        <v>4969824</v>
      </c>
      <c r="D15" s="87">
        <v>8085026</v>
      </c>
      <c r="E15" s="156">
        <f t="shared" si="3"/>
        <v>1.6268234046115113</v>
      </c>
      <c r="F15" s="159">
        <v>5844137</v>
      </c>
      <c r="G15" s="156">
        <f t="shared" si="1"/>
        <v>0.38344224305487695</v>
      </c>
      <c r="H15" s="181" t="s">
        <v>2140</v>
      </c>
      <c r="I15" s="87"/>
      <c r="J15" s="87"/>
      <c r="K15" s="87">
        <v>1504</v>
      </c>
      <c r="L15" s="191" t="str">
        <f t="shared" si="0"/>
        <v/>
      </c>
      <c r="M15" s="159"/>
      <c r="N15" s="185"/>
    </row>
    <row r="16" spans="1:14" ht="21" customHeight="1">
      <c r="A16" s="86" t="s">
        <v>946</v>
      </c>
      <c r="B16" s="160">
        <v>4781250</v>
      </c>
      <c r="C16" s="160">
        <v>4781250</v>
      </c>
      <c r="D16" s="87">
        <v>6845233</v>
      </c>
      <c r="E16" s="156">
        <f t="shared" si="3"/>
        <v>1.4316827189542483</v>
      </c>
      <c r="F16" s="159">
        <v>4543481</v>
      </c>
      <c r="G16" s="156">
        <f t="shared" si="1"/>
        <v>0.50660539793167403</v>
      </c>
      <c r="H16" s="76" t="s">
        <v>943</v>
      </c>
      <c r="I16" s="77"/>
      <c r="J16" s="77"/>
      <c r="K16" s="77"/>
      <c r="L16" s="166" t="str">
        <f t="shared" si="0"/>
        <v/>
      </c>
      <c r="M16" s="77">
        <f>+M17</f>
        <v>9254</v>
      </c>
      <c r="N16" s="170">
        <f t="shared" si="2"/>
        <v>-1</v>
      </c>
    </row>
    <row r="17" spans="1:14" ht="21" customHeight="1">
      <c r="A17" s="86" t="s">
        <v>948</v>
      </c>
      <c r="B17" s="160">
        <v>140000</v>
      </c>
      <c r="C17" s="160">
        <v>140000</v>
      </c>
      <c r="D17" s="87">
        <v>792831</v>
      </c>
      <c r="E17" s="156">
        <f t="shared" si="3"/>
        <v>5.6630785714285716</v>
      </c>
      <c r="F17" s="159">
        <v>587399</v>
      </c>
      <c r="G17" s="156">
        <f t="shared" si="1"/>
        <v>0.34973161343482029</v>
      </c>
      <c r="H17" s="86" t="s">
        <v>945</v>
      </c>
      <c r="I17" s="87"/>
      <c r="J17" s="87"/>
      <c r="K17" s="133"/>
      <c r="L17" s="191" t="str">
        <f t="shared" si="0"/>
        <v/>
      </c>
      <c r="M17" s="133">
        <f>+SUM(M18:M20)</f>
        <v>9254</v>
      </c>
      <c r="N17" s="185">
        <f t="shared" si="2"/>
        <v>-1</v>
      </c>
    </row>
    <row r="18" spans="1:14" ht="21" customHeight="1">
      <c r="A18" s="86" t="s">
        <v>1095</v>
      </c>
      <c r="B18" s="154"/>
      <c r="C18" s="154"/>
      <c r="D18" s="87">
        <v>0</v>
      </c>
      <c r="E18" s="156"/>
      <c r="F18" s="159">
        <v>3</v>
      </c>
      <c r="G18" s="156"/>
      <c r="H18" s="86" t="s">
        <v>947</v>
      </c>
      <c r="I18" s="87"/>
      <c r="J18" s="87"/>
      <c r="K18" s="133"/>
      <c r="L18" s="191" t="str">
        <f t="shared" si="0"/>
        <v/>
      </c>
      <c r="M18" s="133">
        <v>3299</v>
      </c>
      <c r="N18" s="185">
        <f t="shared" si="2"/>
        <v>-1</v>
      </c>
    </row>
    <row r="19" spans="1:14" ht="21" customHeight="1">
      <c r="A19" s="86" t="s">
        <v>950</v>
      </c>
      <c r="B19" s="154"/>
      <c r="C19" s="154"/>
      <c r="D19" s="159"/>
      <c r="E19" s="156"/>
      <c r="F19" s="159">
        <v>348391</v>
      </c>
      <c r="G19" s="156">
        <f t="shared" si="1"/>
        <v>-1</v>
      </c>
      <c r="H19" s="86" t="s">
        <v>949</v>
      </c>
      <c r="I19" s="87"/>
      <c r="J19" s="87"/>
      <c r="K19" s="159"/>
      <c r="L19" s="191" t="str">
        <f t="shared" si="0"/>
        <v/>
      </c>
      <c r="M19" s="159">
        <v>3290</v>
      </c>
      <c r="N19" s="185">
        <f t="shared" si="2"/>
        <v>-1</v>
      </c>
    </row>
    <row r="20" spans="1:14" ht="21" customHeight="1">
      <c r="A20" s="86" t="s">
        <v>952</v>
      </c>
      <c r="B20" s="154"/>
      <c r="C20" s="154"/>
      <c r="D20" s="159"/>
      <c r="E20" s="156"/>
      <c r="F20" s="159">
        <v>348391</v>
      </c>
      <c r="G20" s="156">
        <f t="shared" si="1"/>
        <v>-1</v>
      </c>
      <c r="H20" s="86" t="s">
        <v>951</v>
      </c>
      <c r="I20" s="87"/>
      <c r="J20" s="87"/>
      <c r="K20" s="133"/>
      <c r="L20" s="191" t="str">
        <f t="shared" si="0"/>
        <v/>
      </c>
      <c r="M20" s="133">
        <v>2665</v>
      </c>
      <c r="N20" s="185">
        <f t="shared" si="2"/>
        <v>-1</v>
      </c>
    </row>
    <row r="21" spans="1:14" ht="21" customHeight="1">
      <c r="A21" s="86" t="s">
        <v>953</v>
      </c>
      <c r="B21" s="160">
        <v>-16000</v>
      </c>
      <c r="C21" s="160">
        <v>-16000</v>
      </c>
      <c r="D21" s="87">
        <v>-11861</v>
      </c>
      <c r="E21" s="156"/>
      <c r="F21" s="159">
        <v>-20560</v>
      </c>
      <c r="G21" s="156">
        <f t="shared" si="1"/>
        <v>-0.42310311284046698</v>
      </c>
      <c r="H21" s="76" t="s">
        <v>1277</v>
      </c>
      <c r="I21" s="77">
        <v>4068015</v>
      </c>
      <c r="J21" s="656">
        <v>7376361</v>
      </c>
      <c r="K21" s="77">
        <v>2306103</v>
      </c>
      <c r="L21" s="166">
        <f t="shared" si="0"/>
        <v>0.31263423793927658</v>
      </c>
      <c r="M21" s="158">
        <v>1921337</v>
      </c>
      <c r="N21" s="170">
        <f t="shared" si="2"/>
        <v>0.20025950679136462</v>
      </c>
    </row>
    <row r="22" spans="1:14" ht="20.25" customHeight="1">
      <c r="A22" s="86" t="s">
        <v>955</v>
      </c>
      <c r="B22" s="160">
        <v>64574</v>
      </c>
      <c r="C22" s="160">
        <v>64574</v>
      </c>
      <c r="D22" s="87">
        <v>458823</v>
      </c>
      <c r="E22" s="156">
        <f t="shared" si="3"/>
        <v>7.1053829714745875</v>
      </c>
      <c r="F22" s="159">
        <v>37032</v>
      </c>
      <c r="G22" s="156">
        <f t="shared" si="1"/>
        <v>11.389906027219702</v>
      </c>
      <c r="H22" s="86" t="s">
        <v>954</v>
      </c>
      <c r="I22" s="87">
        <v>54000</v>
      </c>
      <c r="J22" s="647">
        <v>645161</v>
      </c>
      <c r="K22" s="87">
        <v>60775</v>
      </c>
      <c r="L22" s="191">
        <f t="shared" si="0"/>
        <v>9.4201292390581573E-2</v>
      </c>
      <c r="M22" s="159">
        <v>100552</v>
      </c>
      <c r="N22" s="185">
        <f t="shared" si="2"/>
        <v>-0.39558636327472352</v>
      </c>
    </row>
    <row r="23" spans="1:14" ht="21" customHeight="1">
      <c r="A23" s="76" t="s">
        <v>957</v>
      </c>
      <c r="B23" s="87">
        <v>14623</v>
      </c>
      <c r="C23" s="87">
        <v>14623</v>
      </c>
      <c r="D23" s="87">
        <v>14833</v>
      </c>
      <c r="E23" s="156">
        <f t="shared" si="3"/>
        <v>1.0143609382479655</v>
      </c>
      <c r="F23" s="159">
        <v>14641</v>
      </c>
      <c r="G23" s="156">
        <f t="shared" si="1"/>
        <v>1.3113858343009266E-2</v>
      </c>
      <c r="H23" s="86" t="s">
        <v>1097</v>
      </c>
      <c r="I23" s="159"/>
      <c r="J23" s="159"/>
      <c r="K23" s="159"/>
      <c r="L23" s="191" t="str">
        <f t="shared" si="0"/>
        <v/>
      </c>
      <c r="M23" s="159"/>
      <c r="N23" s="185"/>
    </row>
    <row r="24" spans="1:14" ht="21" customHeight="1">
      <c r="A24" s="76" t="s">
        <v>958</v>
      </c>
      <c r="B24" s="87">
        <v>48000</v>
      </c>
      <c r="C24" s="87">
        <v>48000</v>
      </c>
      <c r="D24" s="87">
        <v>231381</v>
      </c>
      <c r="E24" s="156">
        <f t="shared" si="3"/>
        <v>4.8204374999999997</v>
      </c>
      <c r="F24" s="87">
        <v>198571</v>
      </c>
      <c r="G24" s="156">
        <f t="shared" si="1"/>
        <v>0.16523057244008443</v>
      </c>
      <c r="H24" s="86" t="s">
        <v>956</v>
      </c>
      <c r="I24" s="160">
        <v>54000</v>
      </c>
      <c r="J24" s="160"/>
      <c r="K24" s="87">
        <v>60775</v>
      </c>
      <c r="L24" s="191" t="str">
        <f t="shared" si="0"/>
        <v/>
      </c>
      <c r="M24" s="159">
        <v>100552</v>
      </c>
      <c r="N24" s="185">
        <f t="shared" si="2"/>
        <v>-0.39558636327472352</v>
      </c>
    </row>
    <row r="25" spans="1:14" ht="30" customHeight="1">
      <c r="A25" s="76" t="s">
        <v>960</v>
      </c>
      <c r="B25" s="87">
        <v>31000</v>
      </c>
      <c r="C25" s="87">
        <v>31000</v>
      </c>
      <c r="D25" s="87">
        <v>31000</v>
      </c>
      <c r="E25" s="156">
        <f t="shared" si="3"/>
        <v>1</v>
      </c>
      <c r="F25" s="87">
        <v>46300</v>
      </c>
      <c r="G25" s="156"/>
      <c r="H25" s="102" t="s">
        <v>1456</v>
      </c>
      <c r="I25" s="87">
        <v>3771392</v>
      </c>
      <c r="J25" s="647">
        <v>6267952</v>
      </c>
      <c r="K25" s="87">
        <v>2082423</v>
      </c>
      <c r="L25" s="191">
        <f t="shared" si="0"/>
        <v>0.33223339936234353</v>
      </c>
      <c r="M25" s="159">
        <v>1778200</v>
      </c>
      <c r="N25" s="185">
        <f t="shared" si="2"/>
        <v>0.17108480485884603</v>
      </c>
    </row>
    <row r="26" spans="1:14" ht="21" customHeight="1">
      <c r="A26" s="178" t="s">
        <v>962</v>
      </c>
      <c r="B26" s="87">
        <v>29000</v>
      </c>
      <c r="C26" s="87">
        <v>29000</v>
      </c>
      <c r="D26" s="87">
        <v>8303</v>
      </c>
      <c r="E26" s="156">
        <f t="shared" si="3"/>
        <v>0.28631034482758622</v>
      </c>
      <c r="F26" s="87">
        <v>14390</v>
      </c>
      <c r="G26" s="156">
        <f t="shared" si="1"/>
        <v>-0.42300208478109802</v>
      </c>
      <c r="H26" s="86" t="s">
        <v>959</v>
      </c>
      <c r="I26" s="160">
        <v>1350000</v>
      </c>
      <c r="J26" s="160"/>
      <c r="K26" s="87">
        <v>844802</v>
      </c>
      <c r="L26" s="191" t="str">
        <f t="shared" si="0"/>
        <v/>
      </c>
      <c r="M26" s="159">
        <v>869752</v>
      </c>
      <c r="N26" s="185">
        <f t="shared" si="2"/>
        <v>-2.8686338174560122E-2</v>
      </c>
    </row>
    <row r="27" spans="1:14" ht="32.25" customHeight="1">
      <c r="A27" s="180" t="s">
        <v>1457</v>
      </c>
      <c r="B27" s="87">
        <v>29000</v>
      </c>
      <c r="C27" s="87">
        <v>29000</v>
      </c>
      <c r="D27" s="87">
        <v>8303</v>
      </c>
      <c r="E27" s="156">
        <f t="shared" si="3"/>
        <v>0.28631034482758622</v>
      </c>
      <c r="F27" s="87">
        <v>14390</v>
      </c>
      <c r="G27" s="156">
        <f t="shared" si="1"/>
        <v>-0.42300208478109802</v>
      </c>
      <c r="H27" s="86" t="s">
        <v>961</v>
      </c>
      <c r="I27" s="160">
        <f>987000-13000</f>
        <v>974000</v>
      </c>
      <c r="J27" s="160"/>
      <c r="K27" s="87">
        <v>579073</v>
      </c>
      <c r="L27" s="191" t="str">
        <f t="shared" si="0"/>
        <v/>
      </c>
      <c r="M27" s="159">
        <v>402941</v>
      </c>
      <c r="N27" s="185">
        <f t="shared" si="2"/>
        <v>0.43711610384646882</v>
      </c>
    </row>
    <row r="28" spans="1:14" ht="21" customHeight="1">
      <c r="A28" s="178" t="s">
        <v>965</v>
      </c>
      <c r="B28" s="154"/>
      <c r="C28" s="154"/>
      <c r="D28" s="155"/>
      <c r="E28" s="156"/>
      <c r="F28" s="155"/>
      <c r="G28" s="156"/>
      <c r="H28" s="86" t="s">
        <v>963</v>
      </c>
      <c r="I28" s="160">
        <v>108500</v>
      </c>
      <c r="J28" s="160"/>
      <c r="K28" s="87">
        <v>108500</v>
      </c>
      <c r="L28" s="191" t="str">
        <f t="shared" si="0"/>
        <v/>
      </c>
      <c r="M28" s="159">
        <v>108388</v>
      </c>
      <c r="N28" s="185">
        <f t="shared" si="2"/>
        <v>1.0333247222940045E-3</v>
      </c>
    </row>
    <row r="29" spans="1:14" ht="27" customHeight="1">
      <c r="A29" s="179" t="s">
        <v>967</v>
      </c>
      <c r="B29" s="154"/>
      <c r="C29" s="154"/>
      <c r="D29" s="87"/>
      <c r="E29" s="156"/>
      <c r="F29" s="87"/>
      <c r="G29" s="156"/>
      <c r="H29" s="86" t="s">
        <v>964</v>
      </c>
      <c r="I29" s="160">
        <v>130000</v>
      </c>
      <c r="J29" s="160"/>
      <c r="K29" s="87">
        <v>73913</v>
      </c>
      <c r="L29" s="191" t="str">
        <f t="shared" si="0"/>
        <v/>
      </c>
      <c r="M29" s="159">
        <v>105931</v>
      </c>
      <c r="N29" s="185">
        <f t="shared" si="2"/>
        <v>-0.30225335359809691</v>
      </c>
    </row>
    <row r="30" spans="1:14" ht="21" customHeight="1">
      <c r="A30" s="178" t="s">
        <v>969</v>
      </c>
      <c r="B30" s="154"/>
      <c r="C30" s="154"/>
      <c r="D30" s="154"/>
      <c r="E30" s="156"/>
      <c r="F30" s="154">
        <f>SUM(F31:F32)</f>
        <v>55528</v>
      </c>
      <c r="G30" s="156">
        <f t="shared" si="1"/>
        <v>-1</v>
      </c>
      <c r="H30" s="86" t="s">
        <v>966</v>
      </c>
      <c r="I30" s="160">
        <v>484507</v>
      </c>
      <c r="J30" s="160"/>
      <c r="K30" s="87">
        <v>438002</v>
      </c>
      <c r="L30" s="191" t="str">
        <f t="shared" si="0"/>
        <v/>
      </c>
      <c r="M30" s="159">
        <v>37900</v>
      </c>
      <c r="N30" s="185">
        <f t="shared" si="2"/>
        <v>10.556781002638523</v>
      </c>
    </row>
    <row r="31" spans="1:14" ht="17.25" customHeight="1">
      <c r="A31" s="179" t="s">
        <v>970</v>
      </c>
      <c r="B31" s="154"/>
      <c r="C31" s="154"/>
      <c r="D31" s="87"/>
      <c r="E31" s="156"/>
      <c r="F31" s="87">
        <v>55528</v>
      </c>
      <c r="G31" s="156">
        <f t="shared" si="1"/>
        <v>-1</v>
      </c>
      <c r="H31" s="86" t="s">
        <v>968</v>
      </c>
      <c r="I31" s="87"/>
      <c r="J31" s="87"/>
      <c r="K31" s="159"/>
      <c r="L31" s="191" t="str">
        <f t="shared" si="0"/>
        <v/>
      </c>
      <c r="M31" s="159">
        <v>1522</v>
      </c>
      <c r="N31" s="185"/>
    </row>
    <row r="32" spans="1:14" ht="27" customHeight="1">
      <c r="A32" s="179" t="s">
        <v>972</v>
      </c>
      <c r="B32" s="87"/>
      <c r="C32" s="87"/>
      <c r="D32" s="155"/>
      <c r="E32" s="156"/>
      <c r="F32" s="155"/>
      <c r="G32" s="156"/>
      <c r="H32" s="102" t="s">
        <v>1458</v>
      </c>
      <c r="I32" s="160">
        <v>724385</v>
      </c>
      <c r="J32" s="160"/>
      <c r="K32" s="87">
        <v>38133</v>
      </c>
      <c r="L32" s="191" t="str">
        <f t="shared" si="0"/>
        <v/>
      </c>
      <c r="M32" s="159">
        <v>251766</v>
      </c>
      <c r="N32" s="185">
        <f t="shared" si="2"/>
        <v>-0.84853792807607065</v>
      </c>
    </row>
    <row r="33" spans="1:14" ht="21" customHeight="1">
      <c r="A33" s="80" t="s">
        <v>973</v>
      </c>
      <c r="B33" s="161"/>
      <c r="C33" s="161"/>
      <c r="D33" s="155"/>
      <c r="E33" s="156"/>
      <c r="F33" s="155"/>
      <c r="G33" s="156"/>
      <c r="H33" s="86" t="s">
        <v>971</v>
      </c>
      <c r="I33" s="87">
        <v>14623</v>
      </c>
      <c r="J33" s="647">
        <v>19225</v>
      </c>
      <c r="K33" s="87">
        <v>14468</v>
      </c>
      <c r="L33" s="191">
        <f t="shared" si="0"/>
        <v>0.75256176853055912</v>
      </c>
      <c r="M33" s="159">
        <v>6500</v>
      </c>
      <c r="N33" s="185">
        <f t="shared" si="2"/>
        <v>1.2258461538461538</v>
      </c>
    </row>
    <row r="34" spans="1:14" ht="29.25" customHeight="1">
      <c r="A34" s="178" t="s">
        <v>975</v>
      </c>
      <c r="B34" s="87">
        <v>15300</v>
      </c>
      <c r="C34" s="87">
        <v>15300</v>
      </c>
      <c r="D34" s="87">
        <v>11069</v>
      </c>
      <c r="E34" s="156">
        <f t="shared" si="3"/>
        <v>0.7234640522875817</v>
      </c>
      <c r="F34" s="87">
        <v>13527</v>
      </c>
      <c r="G34" s="156">
        <f t="shared" si="1"/>
        <v>-0.18171065276853704</v>
      </c>
      <c r="H34" s="102" t="s">
        <v>1459</v>
      </c>
      <c r="I34" s="87">
        <v>14623</v>
      </c>
      <c r="J34" s="87"/>
      <c r="K34" s="87">
        <v>14468</v>
      </c>
      <c r="L34" s="191" t="str">
        <f t="shared" si="0"/>
        <v/>
      </c>
      <c r="M34" s="159">
        <v>6500</v>
      </c>
      <c r="N34" s="185">
        <f t="shared" si="2"/>
        <v>1.2258461538461538</v>
      </c>
    </row>
    <row r="35" spans="1:14" ht="21" customHeight="1">
      <c r="A35" s="80" t="s">
        <v>976</v>
      </c>
      <c r="B35" s="161"/>
      <c r="C35" s="161"/>
      <c r="D35" s="155"/>
      <c r="E35" s="156"/>
      <c r="F35" s="155"/>
      <c r="G35" s="156"/>
      <c r="H35" s="86" t="s">
        <v>974</v>
      </c>
      <c r="I35" s="87">
        <v>48000</v>
      </c>
      <c r="J35" s="647">
        <v>231954</v>
      </c>
      <c r="K35" s="87">
        <v>12445</v>
      </c>
      <c r="L35" s="191">
        <f t="shared" si="0"/>
        <v>5.3652879450235821E-2</v>
      </c>
      <c r="M35" s="159">
        <v>24329</v>
      </c>
      <c r="N35" s="185">
        <f t="shared" si="2"/>
        <v>-0.48847054954991986</v>
      </c>
    </row>
    <row r="36" spans="1:14" ht="21" customHeight="1">
      <c r="A36" s="76" t="s">
        <v>978</v>
      </c>
      <c r="B36" s="87">
        <v>150</v>
      </c>
      <c r="C36" s="87">
        <v>150</v>
      </c>
      <c r="D36" s="87">
        <v>166</v>
      </c>
      <c r="E36" s="156">
        <f t="shared" si="3"/>
        <v>1.1066666666666667</v>
      </c>
      <c r="F36" s="162">
        <v>170</v>
      </c>
      <c r="G36" s="156">
        <f t="shared" si="1"/>
        <v>-2.352941176470591E-2</v>
      </c>
      <c r="H36" s="86" t="s">
        <v>959</v>
      </c>
      <c r="I36" s="160"/>
      <c r="J36" s="160"/>
      <c r="K36" s="159"/>
      <c r="L36" s="191" t="str">
        <f t="shared" si="0"/>
        <v/>
      </c>
      <c r="M36" s="159">
        <v>15248</v>
      </c>
      <c r="N36" s="185">
        <f t="shared" si="2"/>
        <v>-1</v>
      </c>
    </row>
    <row r="37" spans="1:14" ht="30" customHeight="1">
      <c r="A37" s="178" t="s">
        <v>980</v>
      </c>
      <c r="B37" s="87">
        <v>400</v>
      </c>
      <c r="C37" s="87">
        <v>400</v>
      </c>
      <c r="D37" s="87">
        <v>1212</v>
      </c>
      <c r="E37" s="156">
        <f t="shared" si="3"/>
        <v>3.03</v>
      </c>
      <c r="F37" s="162">
        <v>400</v>
      </c>
      <c r="G37" s="156">
        <f t="shared" si="1"/>
        <v>2.0299999999999998</v>
      </c>
      <c r="H37" s="86" t="s">
        <v>977</v>
      </c>
      <c r="I37" s="159"/>
      <c r="J37" s="159"/>
      <c r="K37" s="87">
        <v>12445</v>
      </c>
      <c r="L37" s="191" t="str">
        <f t="shared" si="0"/>
        <v/>
      </c>
      <c r="M37" s="159">
        <v>7698</v>
      </c>
      <c r="N37" s="185">
        <f t="shared" si="2"/>
        <v>0.61665367627955314</v>
      </c>
    </row>
    <row r="38" spans="1:14" ht="27" customHeight="1">
      <c r="A38" s="178" t="s">
        <v>982</v>
      </c>
      <c r="B38" s="87">
        <v>1500</v>
      </c>
      <c r="C38" s="87">
        <v>1500</v>
      </c>
      <c r="D38" s="87">
        <v>12090</v>
      </c>
      <c r="E38" s="156">
        <f t="shared" si="3"/>
        <v>8.06</v>
      </c>
      <c r="F38" s="87">
        <v>1500</v>
      </c>
      <c r="G38" s="156">
        <f t="shared" si="1"/>
        <v>7.0600000000000005</v>
      </c>
      <c r="H38" s="86" t="s">
        <v>979</v>
      </c>
      <c r="I38" s="159"/>
      <c r="J38" s="159"/>
      <c r="K38" s="159"/>
      <c r="L38" s="191" t="str">
        <f t="shared" si="0"/>
        <v/>
      </c>
      <c r="M38" s="159">
        <v>1383</v>
      </c>
      <c r="N38" s="185">
        <f t="shared" si="2"/>
        <v>-1</v>
      </c>
    </row>
    <row r="39" spans="1:14" ht="21" customHeight="1">
      <c r="A39" s="76" t="s">
        <v>983</v>
      </c>
      <c r="B39" s="87">
        <v>56520</v>
      </c>
      <c r="C39" s="87">
        <v>56520</v>
      </c>
      <c r="D39" s="87">
        <v>59896</v>
      </c>
      <c r="E39" s="156">
        <f t="shared" si="3"/>
        <v>1.0597310686482662</v>
      </c>
      <c r="F39" s="87">
        <f>SUM(F40:F41)</f>
        <v>80762</v>
      </c>
      <c r="G39" s="156">
        <f t="shared" si="1"/>
        <v>-0.25836408211782769</v>
      </c>
      <c r="H39" s="86" t="s">
        <v>981</v>
      </c>
      <c r="I39" s="87">
        <v>31000</v>
      </c>
      <c r="J39" s="647">
        <v>49756</v>
      </c>
      <c r="K39" s="87">
        <v>15811</v>
      </c>
      <c r="L39" s="191">
        <f t="shared" si="0"/>
        <v>0.31777072111906102</v>
      </c>
      <c r="M39" s="159">
        <v>11756</v>
      </c>
      <c r="N39" s="185">
        <f t="shared" si="2"/>
        <v>0.34493024838380393</v>
      </c>
    </row>
    <row r="40" spans="1:14" ht="30.75" customHeight="1">
      <c r="A40" s="86" t="s">
        <v>984</v>
      </c>
      <c r="B40" s="160">
        <v>43000</v>
      </c>
      <c r="C40" s="160">
        <v>43000</v>
      </c>
      <c r="D40" s="87">
        <v>45327</v>
      </c>
      <c r="E40" s="156">
        <f t="shared" si="3"/>
        <v>1.0541162790697673</v>
      </c>
      <c r="F40" s="87">
        <v>54746</v>
      </c>
      <c r="G40" s="156">
        <f t="shared" si="1"/>
        <v>-0.1720490994775874</v>
      </c>
      <c r="H40" s="102" t="s">
        <v>1468</v>
      </c>
      <c r="I40" s="87">
        <v>29000</v>
      </c>
      <c r="J40" s="647">
        <v>11613</v>
      </c>
      <c r="K40" s="87">
        <v>181</v>
      </c>
      <c r="L40" s="191">
        <f t="shared" si="0"/>
        <v>1.5585981227934212E-2</v>
      </c>
      <c r="M40" s="159">
        <v>0</v>
      </c>
      <c r="N40" s="185"/>
    </row>
    <row r="41" spans="1:14" ht="31.5" customHeight="1">
      <c r="A41" s="86" t="s">
        <v>986</v>
      </c>
      <c r="B41" s="160">
        <v>13520</v>
      </c>
      <c r="C41" s="160">
        <v>13520</v>
      </c>
      <c r="D41" s="87">
        <v>14569</v>
      </c>
      <c r="E41" s="156">
        <f t="shared" si="3"/>
        <v>1.0775887573964498</v>
      </c>
      <c r="F41" s="87">
        <v>26016</v>
      </c>
      <c r="G41" s="156">
        <f t="shared" si="1"/>
        <v>-0.43999846248462482</v>
      </c>
      <c r="H41" s="181" t="s">
        <v>1469</v>
      </c>
      <c r="I41" s="87">
        <v>120000</v>
      </c>
      <c r="J41" s="647">
        <v>150700</v>
      </c>
      <c r="K41" s="87">
        <v>120000</v>
      </c>
      <c r="L41" s="191">
        <f t="shared" si="0"/>
        <v>0.79628400796284005</v>
      </c>
      <c r="M41" s="159"/>
      <c r="N41" s="185"/>
    </row>
    <row r="42" spans="1:14" ht="29.25" customHeight="1">
      <c r="A42" s="641" t="s">
        <v>2137</v>
      </c>
      <c r="B42" s="160"/>
      <c r="C42" s="160"/>
      <c r="D42" s="87">
        <v>15539</v>
      </c>
      <c r="E42" s="156"/>
      <c r="F42" s="87"/>
      <c r="G42" s="156"/>
      <c r="H42" s="181" t="s">
        <v>2142</v>
      </c>
      <c r="I42" s="87">
        <v>120000</v>
      </c>
      <c r="J42" s="647">
        <v>150700</v>
      </c>
      <c r="K42" s="87">
        <v>120000</v>
      </c>
      <c r="L42" s="191">
        <f t="shared" si="0"/>
        <v>0.79628400796284005</v>
      </c>
      <c r="M42" s="159"/>
      <c r="N42" s="185"/>
    </row>
    <row r="43" spans="1:14" ht="21" customHeight="1">
      <c r="A43" s="86" t="s">
        <v>2138</v>
      </c>
      <c r="B43" s="160"/>
      <c r="C43" s="160"/>
      <c r="D43" s="87">
        <v>15539</v>
      </c>
      <c r="E43" s="156"/>
      <c r="F43" s="87"/>
      <c r="G43" s="156"/>
      <c r="H43" s="76" t="s">
        <v>985</v>
      </c>
      <c r="I43" s="157"/>
      <c r="J43" s="157"/>
      <c r="K43" s="158"/>
      <c r="L43" s="166" t="str">
        <f t="shared" si="0"/>
        <v/>
      </c>
      <c r="M43" s="158">
        <v>73351</v>
      </c>
      <c r="N43" s="170">
        <f t="shared" si="2"/>
        <v>-1</v>
      </c>
    </row>
    <row r="44" spans="1:14" ht="21" customHeight="1">
      <c r="A44" s="76" t="s">
        <v>2136</v>
      </c>
      <c r="B44" s="87">
        <f>+B45</f>
        <v>120000</v>
      </c>
      <c r="C44" s="87">
        <f t="shared" ref="C44:D44" si="4">+C45</f>
        <v>120000</v>
      </c>
      <c r="D44" s="87">
        <f t="shared" si="4"/>
        <v>150700</v>
      </c>
      <c r="E44" s="156">
        <f t="shared" si="3"/>
        <v>1.2558333333333334</v>
      </c>
      <c r="F44" s="87">
        <v>-11334</v>
      </c>
      <c r="G44" s="156"/>
      <c r="H44" s="86" t="s">
        <v>987</v>
      </c>
      <c r="I44" s="154"/>
      <c r="J44" s="154"/>
      <c r="K44" s="159"/>
      <c r="L44" s="191" t="str">
        <f t="shared" si="0"/>
        <v/>
      </c>
      <c r="M44" s="159">
        <v>185</v>
      </c>
      <c r="N44" s="185">
        <f t="shared" si="2"/>
        <v>-1</v>
      </c>
    </row>
    <row r="45" spans="1:14" ht="21" customHeight="1">
      <c r="A45" s="161" t="s">
        <v>1276</v>
      </c>
      <c r="B45" s="87">
        <v>120000</v>
      </c>
      <c r="C45" s="87">
        <v>120000</v>
      </c>
      <c r="D45" s="87">
        <v>150700</v>
      </c>
      <c r="E45" s="156">
        <f t="shared" ref="E45" si="5">+D45/C45</f>
        <v>1.2558333333333334</v>
      </c>
      <c r="F45" s="87"/>
      <c r="G45" s="161"/>
      <c r="H45" s="86" t="s">
        <v>988</v>
      </c>
      <c r="I45" s="154"/>
      <c r="J45" s="154"/>
      <c r="K45" s="159"/>
      <c r="L45" s="191" t="str">
        <f t="shared" si="0"/>
        <v/>
      </c>
      <c r="M45" s="159">
        <v>0</v>
      </c>
      <c r="N45" s="185"/>
    </row>
    <row r="46" spans="1:14" ht="21" customHeight="1">
      <c r="A46" s="161"/>
      <c r="B46" s="161"/>
      <c r="C46" s="161"/>
      <c r="D46" s="87"/>
      <c r="E46" s="161"/>
      <c r="F46" s="87"/>
      <c r="G46" s="161"/>
      <c r="H46" s="86" t="s">
        <v>989</v>
      </c>
      <c r="I46" s="154"/>
      <c r="J46" s="154"/>
      <c r="K46" s="159"/>
      <c r="L46" s="191" t="str">
        <f t="shared" si="0"/>
        <v/>
      </c>
      <c r="M46" s="159">
        <v>1.85</v>
      </c>
      <c r="N46" s="185">
        <f t="shared" si="2"/>
        <v>-1</v>
      </c>
    </row>
    <row r="47" spans="1:14" ht="21" customHeight="1">
      <c r="A47" s="161"/>
      <c r="B47" s="161"/>
      <c r="C47" s="161"/>
      <c r="D47" s="87"/>
      <c r="E47" s="161"/>
      <c r="F47" s="87"/>
      <c r="G47" s="161"/>
      <c r="H47" s="86" t="s">
        <v>990</v>
      </c>
      <c r="I47" s="154"/>
      <c r="J47" s="154"/>
      <c r="K47" s="159"/>
      <c r="L47" s="191" t="str">
        <f t="shared" si="0"/>
        <v/>
      </c>
      <c r="M47" s="159">
        <v>73166</v>
      </c>
      <c r="N47" s="185">
        <f t="shared" si="2"/>
        <v>-1</v>
      </c>
    </row>
    <row r="48" spans="1:14" ht="21" customHeight="1">
      <c r="A48" s="161"/>
      <c r="B48" s="161"/>
      <c r="C48" s="161"/>
      <c r="D48" s="87"/>
      <c r="E48" s="161"/>
      <c r="F48" s="87"/>
      <c r="G48" s="161"/>
      <c r="H48" s="86" t="s">
        <v>2143</v>
      </c>
      <c r="I48" s="154"/>
      <c r="J48" s="154"/>
      <c r="K48" s="159"/>
      <c r="L48" s="191" t="str">
        <f t="shared" si="0"/>
        <v/>
      </c>
      <c r="M48" s="159">
        <v>23860</v>
      </c>
      <c r="N48" s="185">
        <f t="shared" si="2"/>
        <v>-1</v>
      </c>
    </row>
    <row r="49" spans="1:14" ht="21" customHeight="1">
      <c r="A49" s="161"/>
      <c r="B49" s="161"/>
      <c r="C49" s="161"/>
      <c r="D49" s="87"/>
      <c r="E49" s="161"/>
      <c r="F49" s="87"/>
      <c r="G49" s="161"/>
      <c r="H49" s="86" t="s">
        <v>2144</v>
      </c>
      <c r="I49" s="154"/>
      <c r="J49" s="154"/>
      <c r="K49" s="159"/>
      <c r="L49" s="191" t="str">
        <f t="shared" si="0"/>
        <v/>
      </c>
      <c r="M49" s="159">
        <v>24778</v>
      </c>
      <c r="N49" s="185">
        <f t="shared" si="2"/>
        <v>-1</v>
      </c>
    </row>
    <row r="50" spans="1:14" ht="21" customHeight="1">
      <c r="A50" s="161"/>
      <c r="B50" s="161"/>
      <c r="C50" s="161"/>
      <c r="D50" s="87"/>
      <c r="E50" s="161"/>
      <c r="F50" s="87"/>
      <c r="G50" s="161"/>
      <c r="H50" s="86" t="s">
        <v>991</v>
      </c>
      <c r="I50" s="154"/>
      <c r="J50" s="154"/>
      <c r="K50" s="159"/>
      <c r="L50" s="191" t="str">
        <f t="shared" si="0"/>
        <v/>
      </c>
      <c r="M50" s="159">
        <v>24528</v>
      </c>
      <c r="N50" s="185">
        <f t="shared" si="2"/>
        <v>-1</v>
      </c>
    </row>
    <row r="51" spans="1:14" ht="21" customHeight="1">
      <c r="A51" s="161"/>
      <c r="B51" s="161"/>
      <c r="C51" s="161"/>
      <c r="D51" s="87"/>
      <c r="E51" s="161"/>
      <c r="F51" s="87"/>
      <c r="G51" s="161"/>
      <c r="H51" s="76" t="s">
        <v>992</v>
      </c>
      <c r="I51" s="77">
        <v>15300</v>
      </c>
      <c r="J51" s="656">
        <v>59881</v>
      </c>
      <c r="K51" s="77">
        <v>54416</v>
      </c>
      <c r="L51" s="166">
        <f t="shared" si="0"/>
        <v>0.90873565905712994</v>
      </c>
      <c r="M51" s="158">
        <v>90509</v>
      </c>
      <c r="N51" s="170">
        <f t="shared" si="2"/>
        <v>-0.39877802207515278</v>
      </c>
    </row>
    <row r="52" spans="1:14" ht="21" customHeight="1">
      <c r="A52" s="161"/>
      <c r="B52" s="161"/>
      <c r="C52" s="161"/>
      <c r="D52" s="163"/>
      <c r="E52" s="161"/>
      <c r="F52" s="163"/>
      <c r="G52" s="161"/>
      <c r="H52" s="86" t="s">
        <v>993</v>
      </c>
      <c r="I52" s="87">
        <v>15300</v>
      </c>
      <c r="J52" s="647">
        <v>15127</v>
      </c>
      <c r="K52" s="87">
        <v>9662</v>
      </c>
      <c r="L52" s="191">
        <f t="shared" si="0"/>
        <v>0.63872545779070533</v>
      </c>
      <c r="M52" s="159">
        <v>14156</v>
      </c>
      <c r="N52" s="185">
        <f t="shared" si="2"/>
        <v>-0.31746256004521056</v>
      </c>
    </row>
    <row r="53" spans="1:14" ht="21" customHeight="1">
      <c r="A53" s="161"/>
      <c r="B53" s="161"/>
      <c r="C53" s="161"/>
      <c r="D53" s="87"/>
      <c r="E53" s="161"/>
      <c r="F53" s="87"/>
      <c r="G53" s="161"/>
      <c r="H53" s="113" t="s">
        <v>1281</v>
      </c>
      <c r="I53" s="87"/>
      <c r="J53" s="87"/>
      <c r="K53" s="87">
        <v>5793</v>
      </c>
      <c r="L53" s="191" t="str">
        <f t="shared" si="0"/>
        <v/>
      </c>
      <c r="M53" s="159">
        <v>14000</v>
      </c>
      <c r="N53" s="185">
        <f t="shared" si="2"/>
        <v>-0.58621428571428569</v>
      </c>
    </row>
    <row r="54" spans="1:14" ht="21" customHeight="1">
      <c r="A54" s="161"/>
      <c r="B54" s="161"/>
      <c r="C54" s="161"/>
      <c r="D54" s="87"/>
      <c r="E54" s="161"/>
      <c r="F54" s="87"/>
      <c r="G54" s="161"/>
      <c r="H54" s="86" t="s">
        <v>994</v>
      </c>
      <c r="I54" s="87">
        <v>15300</v>
      </c>
      <c r="J54" s="647">
        <v>15127</v>
      </c>
      <c r="K54" s="87">
        <v>3869</v>
      </c>
      <c r="L54" s="191">
        <f t="shared" si="0"/>
        <v>0.25576783235274675</v>
      </c>
      <c r="M54" s="159">
        <v>156</v>
      </c>
      <c r="N54" s="185"/>
    </row>
    <row r="55" spans="1:14" ht="21" customHeight="1">
      <c r="A55" s="161"/>
      <c r="B55" s="161"/>
      <c r="C55" s="161"/>
      <c r="D55" s="87"/>
      <c r="E55" s="161"/>
      <c r="F55" s="87"/>
      <c r="G55" s="161"/>
      <c r="H55" s="86" t="s">
        <v>995</v>
      </c>
      <c r="I55" s="154"/>
      <c r="J55" s="647">
        <v>44754</v>
      </c>
      <c r="K55" s="87">
        <v>44754</v>
      </c>
      <c r="L55" s="191">
        <f t="shared" si="0"/>
        <v>1</v>
      </c>
      <c r="M55" s="159">
        <v>76353</v>
      </c>
      <c r="N55" s="185">
        <f t="shared" si="2"/>
        <v>-0.41385407253153117</v>
      </c>
    </row>
    <row r="56" spans="1:14" ht="21" customHeight="1">
      <c r="A56" s="161"/>
      <c r="B56" s="161"/>
      <c r="C56" s="161"/>
      <c r="D56" s="163"/>
      <c r="E56" s="161"/>
      <c r="F56" s="163"/>
      <c r="G56" s="161"/>
      <c r="H56" s="86" t="s">
        <v>996</v>
      </c>
      <c r="I56" s="154"/>
      <c r="J56" s="154"/>
      <c r="K56" s="87">
        <v>44754</v>
      </c>
      <c r="L56" s="191" t="str">
        <f t="shared" si="0"/>
        <v/>
      </c>
      <c r="M56" s="159">
        <v>76083</v>
      </c>
      <c r="N56" s="185">
        <f t="shared" si="2"/>
        <v>-0.4117739836757226</v>
      </c>
    </row>
    <row r="57" spans="1:14" ht="21" customHeight="1">
      <c r="A57" s="161"/>
      <c r="B57" s="161"/>
      <c r="C57" s="161"/>
      <c r="D57" s="163"/>
      <c r="E57" s="161"/>
      <c r="F57" s="163"/>
      <c r="G57" s="161"/>
      <c r="H57" s="86" t="s">
        <v>2145</v>
      </c>
      <c r="I57" s="154"/>
      <c r="J57" s="154"/>
      <c r="K57" s="159"/>
      <c r="L57" s="191" t="str">
        <f t="shared" si="0"/>
        <v/>
      </c>
      <c r="M57" s="159">
        <v>270</v>
      </c>
      <c r="N57" s="185">
        <f t="shared" si="2"/>
        <v>-1</v>
      </c>
    </row>
    <row r="58" spans="1:14" ht="33" customHeight="1">
      <c r="A58" s="161"/>
      <c r="B58" s="161"/>
      <c r="C58" s="161"/>
      <c r="D58" s="163"/>
      <c r="E58" s="161"/>
      <c r="F58" s="163"/>
      <c r="G58" s="161"/>
      <c r="H58" s="76" t="s">
        <v>997</v>
      </c>
      <c r="I58" s="77">
        <v>10904</v>
      </c>
      <c r="J58" s="656">
        <v>25153</v>
      </c>
      <c r="K58" s="77">
        <v>437</v>
      </c>
      <c r="L58" s="166">
        <f t="shared" si="0"/>
        <v>1.7373673120502524E-2</v>
      </c>
      <c r="M58" s="158">
        <v>348</v>
      </c>
      <c r="N58" s="170">
        <f t="shared" si="2"/>
        <v>0.25574712643678166</v>
      </c>
    </row>
    <row r="59" spans="1:14" ht="21" customHeight="1">
      <c r="A59" s="161"/>
      <c r="B59" s="161"/>
      <c r="C59" s="161"/>
      <c r="D59" s="87"/>
      <c r="E59" s="161"/>
      <c r="F59" s="87"/>
      <c r="G59" s="161"/>
      <c r="H59" s="86" t="s">
        <v>998</v>
      </c>
      <c r="I59" s="87">
        <v>9004</v>
      </c>
      <c r="J59" s="647">
        <v>11281</v>
      </c>
      <c r="K59" s="87">
        <v>413</v>
      </c>
      <c r="L59" s="191">
        <f t="shared" si="0"/>
        <v>3.661022958957539E-2</v>
      </c>
      <c r="M59" s="159">
        <v>113</v>
      </c>
      <c r="N59" s="185">
        <f t="shared" si="2"/>
        <v>2.6548672566371683</v>
      </c>
    </row>
    <row r="60" spans="1:14" ht="29.25" customHeight="1">
      <c r="A60" s="161"/>
      <c r="B60" s="161"/>
      <c r="C60" s="161"/>
      <c r="D60" s="87"/>
      <c r="E60" s="161"/>
      <c r="F60" s="87"/>
      <c r="G60" s="161"/>
      <c r="H60" s="86" t="s">
        <v>999</v>
      </c>
      <c r="I60" s="87">
        <v>9004</v>
      </c>
      <c r="J60" s="647">
        <v>11281</v>
      </c>
      <c r="K60" s="87">
        <v>413</v>
      </c>
      <c r="L60" s="191">
        <f t="shared" si="0"/>
        <v>3.661022958957539E-2</v>
      </c>
      <c r="M60" s="87">
        <v>113</v>
      </c>
      <c r="N60" s="185">
        <f t="shared" si="2"/>
        <v>2.6548672566371683</v>
      </c>
    </row>
    <row r="61" spans="1:14" ht="21" customHeight="1">
      <c r="A61" s="161"/>
      <c r="B61" s="161"/>
      <c r="C61" s="161"/>
      <c r="D61" s="87"/>
      <c r="E61" s="161"/>
      <c r="F61" s="87"/>
      <c r="G61" s="161"/>
      <c r="H61" s="86" t="s">
        <v>1000</v>
      </c>
      <c r="I61" s="87">
        <v>400</v>
      </c>
      <c r="J61" s="647">
        <v>1332</v>
      </c>
      <c r="K61" s="87">
        <v>24</v>
      </c>
      <c r="L61" s="191">
        <f t="shared" si="0"/>
        <v>1.8018018018018018E-2</v>
      </c>
      <c r="M61" s="159">
        <v>185</v>
      </c>
      <c r="N61" s="185">
        <f t="shared" si="2"/>
        <v>-0.87027027027027026</v>
      </c>
    </row>
    <row r="62" spans="1:14" ht="29.25" customHeight="1">
      <c r="A62" s="161"/>
      <c r="B62" s="161"/>
      <c r="C62" s="161"/>
      <c r="D62" s="87"/>
      <c r="E62" s="161"/>
      <c r="F62" s="87"/>
      <c r="G62" s="161"/>
      <c r="H62" s="86" t="s">
        <v>1001</v>
      </c>
      <c r="I62" s="87">
        <v>400</v>
      </c>
      <c r="J62" s="647">
        <v>1332</v>
      </c>
      <c r="K62" s="87">
        <v>24</v>
      </c>
      <c r="L62" s="191">
        <f t="shared" si="0"/>
        <v>1.8018018018018018E-2</v>
      </c>
      <c r="M62" s="159">
        <v>185</v>
      </c>
      <c r="N62" s="185">
        <f t="shared" si="2"/>
        <v>-0.87027027027027026</v>
      </c>
    </row>
    <row r="63" spans="1:14" ht="33" customHeight="1">
      <c r="A63" s="161"/>
      <c r="B63" s="161"/>
      <c r="C63" s="161"/>
      <c r="D63" s="87"/>
      <c r="E63" s="161"/>
      <c r="F63" s="87"/>
      <c r="G63" s="161"/>
      <c r="H63" s="86" t="s">
        <v>1002</v>
      </c>
      <c r="I63" s="87">
        <v>1500</v>
      </c>
      <c r="J63" s="647">
        <v>12540</v>
      </c>
      <c r="K63" s="159"/>
      <c r="L63" s="191">
        <f t="shared" si="0"/>
        <v>0</v>
      </c>
      <c r="M63" s="159">
        <v>50</v>
      </c>
      <c r="N63" s="185">
        <f t="shared" si="2"/>
        <v>-1</v>
      </c>
    </row>
    <row r="64" spans="1:14" ht="27.75" customHeight="1">
      <c r="A64" s="161"/>
      <c r="B64" s="161"/>
      <c r="C64" s="161"/>
      <c r="D64" s="87"/>
      <c r="E64" s="161"/>
      <c r="F64" s="87"/>
      <c r="G64" s="161"/>
      <c r="H64" s="102" t="s">
        <v>1470</v>
      </c>
      <c r="I64" s="87">
        <v>1500</v>
      </c>
      <c r="J64" s="647">
        <v>12540</v>
      </c>
      <c r="K64" s="159"/>
      <c r="L64" s="191">
        <f t="shared" si="0"/>
        <v>0</v>
      </c>
      <c r="M64" s="159">
        <v>50</v>
      </c>
      <c r="N64" s="185">
        <f t="shared" si="2"/>
        <v>-1</v>
      </c>
    </row>
    <row r="65" spans="1:16" ht="31.5" customHeight="1">
      <c r="A65" s="161"/>
      <c r="B65" s="161"/>
      <c r="C65" s="161"/>
      <c r="D65" s="87"/>
      <c r="E65" s="161"/>
      <c r="F65" s="87"/>
      <c r="G65" s="161"/>
      <c r="H65" s="76" t="s">
        <v>2141</v>
      </c>
      <c r="I65" s="77">
        <v>66203</v>
      </c>
      <c r="J65" s="656">
        <v>81990</v>
      </c>
      <c r="K65" s="77">
        <v>40755</v>
      </c>
      <c r="L65" s="166">
        <f t="shared" si="0"/>
        <v>0.49707281375777534</v>
      </c>
      <c r="M65" s="158">
        <v>26237</v>
      </c>
      <c r="N65" s="170">
        <f t="shared" si="2"/>
        <v>0.55334070206197361</v>
      </c>
    </row>
    <row r="66" spans="1:16" ht="31.5" customHeight="1">
      <c r="A66" s="161"/>
      <c r="B66" s="161"/>
      <c r="C66" s="161"/>
      <c r="D66" s="87"/>
      <c r="E66" s="161"/>
      <c r="F66" s="87"/>
      <c r="G66" s="161"/>
      <c r="H66" s="181" t="s">
        <v>1471</v>
      </c>
      <c r="I66" s="87"/>
      <c r="J66" s="661">
        <v>15539</v>
      </c>
      <c r="K66" s="87">
        <v>11031</v>
      </c>
      <c r="L66" s="191">
        <f t="shared" si="0"/>
        <v>0.70989124139262505</v>
      </c>
      <c r="M66" s="159"/>
      <c r="N66" s="185"/>
    </row>
    <row r="67" spans="1:16" ht="33.75" customHeight="1">
      <c r="A67" s="161"/>
      <c r="B67" s="161"/>
      <c r="C67" s="161"/>
      <c r="D67" s="87"/>
      <c r="E67" s="161"/>
      <c r="F67" s="87"/>
      <c r="G67" s="161"/>
      <c r="H67" s="102" t="s">
        <v>1003</v>
      </c>
      <c r="I67" s="87">
        <v>66203</v>
      </c>
      <c r="J67" s="647">
        <v>60649</v>
      </c>
      <c r="K67" s="87">
        <v>29724</v>
      </c>
      <c r="L67" s="191">
        <f t="shared" si="0"/>
        <v>0.49009876502497979</v>
      </c>
      <c r="M67" s="159">
        <v>25434</v>
      </c>
      <c r="N67" s="185">
        <f t="shared" si="2"/>
        <v>0.16867185656994566</v>
      </c>
    </row>
    <row r="68" spans="1:16" ht="30" customHeight="1">
      <c r="A68" s="161"/>
      <c r="B68" s="161"/>
      <c r="C68" s="161"/>
      <c r="D68" s="87"/>
      <c r="E68" s="161"/>
      <c r="F68" s="87"/>
      <c r="G68" s="161"/>
      <c r="H68" s="102" t="s">
        <v>1472</v>
      </c>
      <c r="I68" s="154">
        <v>45058</v>
      </c>
      <c r="J68" s="154"/>
      <c r="K68" s="87">
        <v>14720</v>
      </c>
      <c r="L68" s="191" t="str">
        <f t="shared" si="0"/>
        <v/>
      </c>
      <c r="M68" s="159">
        <v>16093</v>
      </c>
      <c r="N68" s="185">
        <f t="shared" si="2"/>
        <v>-8.531659727831975E-2</v>
      </c>
    </row>
    <row r="69" spans="1:16" ht="32.25" customHeight="1">
      <c r="A69" s="161"/>
      <c r="B69" s="161"/>
      <c r="C69" s="161"/>
      <c r="D69" s="87"/>
      <c r="E69" s="161"/>
      <c r="F69" s="87"/>
      <c r="G69" s="161"/>
      <c r="H69" s="102" t="s">
        <v>1473</v>
      </c>
      <c r="I69" s="154">
        <v>13376</v>
      </c>
      <c r="J69" s="154"/>
      <c r="K69" s="87">
        <v>10730</v>
      </c>
      <c r="L69" s="191" t="str">
        <f t="shared" ref="L69:L72" si="6">+IF(ISERROR(K69/J69),"",(K69/J69))</f>
        <v/>
      </c>
      <c r="M69" s="159">
        <v>7371</v>
      </c>
      <c r="N69" s="185">
        <f t="shared" si="2"/>
        <v>0.45570478903812228</v>
      </c>
    </row>
    <row r="70" spans="1:16" s="19" customFormat="1" ht="35.25" customHeight="1">
      <c r="A70" s="161"/>
      <c r="B70" s="161"/>
      <c r="C70" s="161"/>
      <c r="D70" s="87"/>
      <c r="E70" s="161"/>
      <c r="F70" s="87"/>
      <c r="G70" s="161"/>
      <c r="H70" s="102" t="s">
        <v>1474</v>
      </c>
      <c r="I70" s="154">
        <v>7769</v>
      </c>
      <c r="J70" s="154"/>
      <c r="K70" s="87">
        <v>4274</v>
      </c>
      <c r="L70" s="191" t="str">
        <f t="shared" si="6"/>
        <v/>
      </c>
      <c r="M70" s="159">
        <v>1939</v>
      </c>
      <c r="N70" s="185">
        <f t="shared" si="2"/>
        <v>1.2042289840123774</v>
      </c>
    </row>
    <row r="71" spans="1:16" s="19" customFormat="1" ht="32.25" customHeight="1">
      <c r="A71" s="161"/>
      <c r="B71" s="161"/>
      <c r="C71" s="161"/>
      <c r="D71" s="87"/>
      <c r="E71" s="161"/>
      <c r="F71" s="87"/>
      <c r="G71" s="161"/>
      <c r="H71" s="102" t="s">
        <v>2146</v>
      </c>
      <c r="I71" s="154"/>
      <c r="J71" s="154"/>
      <c r="K71" s="87"/>
      <c r="L71" s="191" t="str">
        <f t="shared" si="6"/>
        <v/>
      </c>
      <c r="M71" s="159">
        <v>31</v>
      </c>
      <c r="N71" s="185">
        <f t="shared" si="2"/>
        <v>-1</v>
      </c>
    </row>
    <row r="72" spans="1:16" s="38" customFormat="1" ht="28.5" customHeight="1">
      <c r="A72" s="161"/>
      <c r="B72" s="161"/>
      <c r="C72" s="161"/>
      <c r="D72" s="155"/>
      <c r="E72" s="156"/>
      <c r="F72" s="155"/>
      <c r="G72" s="156"/>
      <c r="H72" s="86" t="s">
        <v>1004</v>
      </c>
      <c r="I72" s="154"/>
      <c r="J72" s="647">
        <v>5802</v>
      </c>
      <c r="K72" s="159"/>
      <c r="L72" s="191">
        <f t="shared" si="6"/>
        <v>0</v>
      </c>
      <c r="M72" s="159">
        <v>803</v>
      </c>
      <c r="N72" s="185">
        <f t="shared" si="2"/>
        <v>-1</v>
      </c>
    </row>
    <row r="73" spans="1:16" s="38" customFormat="1" ht="20.25" customHeight="1">
      <c r="A73" s="161"/>
      <c r="B73" s="161"/>
      <c r="C73" s="161"/>
      <c r="D73" s="155"/>
      <c r="E73" s="156"/>
      <c r="F73" s="155"/>
      <c r="G73" s="156"/>
      <c r="H73" s="161"/>
      <c r="I73" s="161"/>
      <c r="J73" s="161"/>
      <c r="K73" s="130"/>
      <c r="L73" s="161"/>
      <c r="M73" s="130"/>
      <c r="N73" s="170"/>
    </row>
    <row r="74" spans="1:16" s="38" customFormat="1" ht="20.25" customHeight="1">
      <c r="A74" s="182" t="s">
        <v>1005</v>
      </c>
      <c r="B74" s="77">
        <v>5440308</v>
      </c>
      <c r="C74" s="77">
        <v>5440308</v>
      </c>
      <c r="D74" s="77">
        <v>9136339</v>
      </c>
      <c r="E74" s="164">
        <f>+D74/C74</f>
        <v>1.6793789983949439</v>
      </c>
      <c r="F74" s="165">
        <f>F4+F6+F7+F9+F10+F15+SUM(F23:F26)+F28+F30+SUM(F33:F39)+F44</f>
        <v>6865308</v>
      </c>
      <c r="G74" s="164">
        <f>+D74/F74-1</f>
        <v>0.33079812296840871</v>
      </c>
      <c r="H74" s="182" t="s">
        <v>1006</v>
      </c>
      <c r="I74" s="77">
        <v>4160422</v>
      </c>
      <c r="J74" s="656">
        <v>7546449</v>
      </c>
      <c r="K74" s="77">
        <v>2404775</v>
      </c>
      <c r="L74" s="166">
        <f>+K74/J74</f>
        <v>0.31866312221814524</v>
      </c>
      <c r="M74" s="167">
        <f>M4+M7+M10+M16+M21+M43+M51+M58+M65</f>
        <v>2158539</v>
      </c>
      <c r="N74" s="170">
        <f t="shared" si="2"/>
        <v>0.11407530741858274</v>
      </c>
      <c r="P74" s="640"/>
    </row>
    <row r="75" spans="1:16" s="38" customFormat="1" ht="20.25" customHeight="1">
      <c r="A75" s="183" t="s">
        <v>1280</v>
      </c>
      <c r="B75" s="168">
        <v>4167844</v>
      </c>
      <c r="C75" s="168">
        <f>SUM(C76:C79)</f>
        <v>7967844</v>
      </c>
      <c r="D75" s="77">
        <f>SUM(D76:D79)</f>
        <v>4164362.16</v>
      </c>
      <c r="E75" s="164">
        <f>+D75/C75</f>
        <v>0.52264604578101681</v>
      </c>
      <c r="F75" s="77">
        <f>SUM(F76:F79)</f>
        <v>2676628</v>
      </c>
      <c r="G75" s="170">
        <f t="shared" ref="G75:G79" si="7">+D75/F75-1</f>
        <v>0.55582402933840647</v>
      </c>
      <c r="H75" s="183" t="s">
        <v>1105</v>
      </c>
      <c r="I75" s="168">
        <v>5447730</v>
      </c>
      <c r="J75" s="169">
        <f>SUM(J76:J79)</f>
        <v>5861703</v>
      </c>
      <c r="K75" s="169">
        <f>SUM(K76:K79)</f>
        <v>10895926.16</v>
      </c>
      <c r="L75" s="166">
        <f>+K75/J75</f>
        <v>1.8588328613715162</v>
      </c>
      <c r="M75" s="169">
        <f>SUM(M76:M79)</f>
        <v>7383397</v>
      </c>
      <c r="N75" s="170">
        <f t="shared" si="2"/>
        <v>0.47573348148555472</v>
      </c>
      <c r="O75" s="640"/>
    </row>
    <row r="76" spans="1:16" ht="25.5" customHeight="1">
      <c r="A76" s="171" t="s">
        <v>1318</v>
      </c>
      <c r="B76" s="160">
        <v>4165202</v>
      </c>
      <c r="C76" s="160">
        <f>4165202+3800000-44358</f>
        <v>7920844</v>
      </c>
      <c r="D76" s="87">
        <v>4113103.41</v>
      </c>
      <c r="E76" s="156">
        <f>+D76/C76</f>
        <v>0.51927590165896464</v>
      </c>
      <c r="F76" s="133">
        <v>2560887</v>
      </c>
      <c r="G76" s="185">
        <f t="shared" si="7"/>
        <v>0.60612452247990634</v>
      </c>
      <c r="H76" s="161" t="s">
        <v>1319</v>
      </c>
      <c r="I76" s="160">
        <v>1766870</v>
      </c>
      <c r="J76" s="160">
        <f>603973+1766870</f>
        <v>2370843</v>
      </c>
      <c r="K76" s="184">
        <v>2301495</v>
      </c>
      <c r="L76" s="156">
        <f>+K76/J76</f>
        <v>0.9707496447466154</v>
      </c>
      <c r="M76" s="184">
        <v>2711090</v>
      </c>
      <c r="N76" s="185">
        <f t="shared" si="2"/>
        <v>-0.15108129940356096</v>
      </c>
    </row>
    <row r="77" spans="1:16" s="38" customFormat="1" ht="29.25" customHeight="1">
      <c r="A77" s="171" t="s">
        <v>1320</v>
      </c>
      <c r="B77" s="160">
        <v>2642</v>
      </c>
      <c r="C77" s="160">
        <v>47000</v>
      </c>
      <c r="D77" s="87">
        <v>46827</v>
      </c>
      <c r="E77" s="156">
        <f>+D77/C77</f>
        <v>0.99631914893617024</v>
      </c>
      <c r="F77" s="133">
        <v>43342</v>
      </c>
      <c r="G77" s="185">
        <f t="shared" si="7"/>
        <v>8.0406995523972125E-2</v>
      </c>
      <c r="H77" s="186" t="s">
        <v>1321</v>
      </c>
      <c r="I77" s="184"/>
      <c r="J77" s="184"/>
      <c r="K77" s="184"/>
      <c r="L77" s="156"/>
      <c r="M77" s="184">
        <v>76067</v>
      </c>
      <c r="N77" s="185">
        <f t="shared" si="2"/>
        <v>-1</v>
      </c>
    </row>
    <row r="78" spans="1:16" ht="21.75" customHeight="1">
      <c r="A78" s="187" t="s">
        <v>1322</v>
      </c>
      <c r="B78" s="172"/>
      <c r="C78" s="87"/>
      <c r="D78" s="87">
        <v>4419.75</v>
      </c>
      <c r="E78" s="156"/>
      <c r="F78" s="184">
        <v>2399</v>
      </c>
      <c r="G78" s="185">
        <f t="shared" si="7"/>
        <v>0.84233013755731556</v>
      </c>
      <c r="H78" s="186" t="s">
        <v>1323</v>
      </c>
      <c r="I78" s="160">
        <f>1500000+73000+1163000</f>
        <v>2736000</v>
      </c>
      <c r="J78" s="160">
        <f>1500000+73000+1163000+648000+100000</f>
        <v>3484000</v>
      </c>
      <c r="K78" s="188">
        <v>3452756</v>
      </c>
      <c r="L78" s="156">
        <f>+K78/J78</f>
        <v>0.99103214695752007</v>
      </c>
      <c r="M78" s="130">
        <v>431038</v>
      </c>
      <c r="N78" s="185">
        <f t="shared" si="2"/>
        <v>7.0103285557189849</v>
      </c>
    </row>
    <row r="79" spans="1:16" ht="21.75" customHeight="1">
      <c r="A79" s="171" t="s">
        <v>1324</v>
      </c>
      <c r="B79" s="172"/>
      <c r="C79" s="87"/>
      <c r="D79" s="87">
        <v>12</v>
      </c>
      <c r="E79" s="156"/>
      <c r="F79" s="133">
        <v>70000</v>
      </c>
      <c r="G79" s="185">
        <f t="shared" si="7"/>
        <v>-0.9998285714285714</v>
      </c>
      <c r="H79" s="186" t="s">
        <v>1325</v>
      </c>
      <c r="I79" s="160">
        <v>944860</v>
      </c>
      <c r="J79" s="133">
        <f>296860-290000</f>
        <v>6860</v>
      </c>
      <c r="K79" s="87">
        <v>5141675.16</v>
      </c>
      <c r="L79" s="156">
        <f>+K79/J79</f>
        <v>749.51532944606413</v>
      </c>
      <c r="M79" s="133">
        <v>4165202</v>
      </c>
      <c r="N79" s="185">
        <f t="shared" si="2"/>
        <v>0.23443596733123639</v>
      </c>
    </row>
    <row r="80" spans="1:16">
      <c r="A80" s="171"/>
      <c r="B80" s="172"/>
      <c r="C80" s="87"/>
      <c r="D80" s="173"/>
      <c r="E80" s="161"/>
      <c r="F80" s="173"/>
      <c r="G80" s="161"/>
      <c r="H80" s="161"/>
      <c r="I80" s="161"/>
      <c r="J80" s="161"/>
      <c r="K80" s="161"/>
      <c r="L80" s="161"/>
      <c r="M80" s="161"/>
      <c r="N80" s="170"/>
    </row>
    <row r="81" spans="1:14" ht="29.25" customHeight="1">
      <c r="A81" s="189" t="s">
        <v>1007</v>
      </c>
      <c r="B81" s="168">
        <v>9608152</v>
      </c>
      <c r="C81" s="169">
        <f>+C74+C75</f>
        <v>13408152</v>
      </c>
      <c r="D81" s="169">
        <f>+D74+D75</f>
        <v>13300701.16</v>
      </c>
      <c r="E81" s="164">
        <f>+D81/C81</f>
        <v>0.99198615588486772</v>
      </c>
      <c r="F81" s="169">
        <f>F74+SUM(F76:F79)</f>
        <v>9541936</v>
      </c>
      <c r="G81" s="164">
        <f>+D81/F81-1</f>
        <v>0.39392060059929146</v>
      </c>
      <c r="H81" s="189" t="s">
        <v>1008</v>
      </c>
      <c r="I81" s="168">
        <f>+I74+I75</f>
        <v>9608152</v>
      </c>
      <c r="J81" s="169">
        <f>+J74+J75</f>
        <v>13408152</v>
      </c>
      <c r="K81" s="169">
        <f>+K74+K75</f>
        <v>13300701.16</v>
      </c>
      <c r="L81" s="164">
        <f>+K81/J81</f>
        <v>0.99198615588486772</v>
      </c>
      <c r="M81" s="169">
        <f>M74+SUM(M76:M79)</f>
        <v>9541936</v>
      </c>
      <c r="N81" s="170">
        <f>+K81/M81-1</f>
        <v>0.39392060059929146</v>
      </c>
    </row>
    <row r="82" spans="1:14">
      <c r="D82" s="16"/>
    </row>
    <row r="83" spans="1:14">
      <c r="A83" s="599"/>
      <c r="F83" s="15"/>
      <c r="H83" s="599"/>
      <c r="J83" s="9"/>
    </row>
    <row r="84" spans="1:14">
      <c r="A84" s="599"/>
      <c r="B84" s="636">
        <f>+B81-B74-B75</f>
        <v>0</v>
      </c>
      <c r="C84" s="636">
        <f>+C81-C74-C75</f>
        <v>0</v>
      </c>
      <c r="D84" s="636">
        <f>+D81-D74-D75</f>
        <v>0</v>
      </c>
      <c r="F84" s="636">
        <f>+F81-F74-F75</f>
        <v>0</v>
      </c>
      <c r="H84" s="599"/>
      <c r="I84" s="637">
        <f>+I74+I75-I81</f>
        <v>0</v>
      </c>
      <c r="J84" s="637">
        <f>+J74+J75-J81</f>
        <v>0</v>
      </c>
      <c r="K84" s="637">
        <f>+K74+K75-K81</f>
        <v>0</v>
      </c>
      <c r="M84" s="637">
        <f>+M74+M75-M81</f>
        <v>0</v>
      </c>
    </row>
    <row r="85" spans="1:14">
      <c r="A85" s="599"/>
      <c r="B85" s="635">
        <f>+B74-B4-B6-B7-B9-B10-B15-B23-B24-B25-B26-B28-B30-B33-B34-B35-B36-B37-B38-B39-B44</f>
        <v>0</v>
      </c>
      <c r="C85" s="635">
        <f>+C74-C4-C6-C7-C9-C10-C15-C23-C24-C25-C26-C28-C30-C33-C34-C35-C36-C37-C38-C39-C44</f>
        <v>0</v>
      </c>
      <c r="D85" s="635">
        <f>+D74-D4-D6-D7-D9-D10-D15-D23-D24-D25-D26-D28-D30-D33-D34-D35-D36-D37-D38-D39-D44-D42</f>
        <v>0</v>
      </c>
      <c r="F85" s="635">
        <f>+F74-F4-F6-F7-F9-F10-F15-F23-F24-F25-F26-F28-F30-F33-F34-F35-F36-F37-F38-F39-F44</f>
        <v>0</v>
      </c>
      <c r="H85" s="599"/>
      <c r="I85" s="660"/>
      <c r="J85" s="638"/>
      <c r="K85" s="638"/>
      <c r="M85" s="638"/>
    </row>
    <row r="86" spans="1:14">
      <c r="A86" s="599"/>
      <c r="B86" s="636">
        <f>B75-SUM(B76:B79)</f>
        <v>0</v>
      </c>
      <c r="C86" s="636">
        <f>C75-SUM(C76:C79)</f>
        <v>0</v>
      </c>
      <c r="D86" s="636">
        <f>D75-SUM(D76:D79)</f>
        <v>0</v>
      </c>
      <c r="F86" s="636">
        <f>F75-SUM(F76:F79)</f>
        <v>0</v>
      </c>
      <c r="H86" s="599"/>
      <c r="I86" s="637">
        <f>+I75-SUM(I76:I79)</f>
        <v>0</v>
      </c>
      <c r="J86" s="637">
        <f>+J75-SUM(J76:J79)</f>
        <v>0</v>
      </c>
      <c r="K86" s="637">
        <f>+K75-SUM(K76:K79)</f>
        <v>0</v>
      </c>
      <c r="M86" s="637">
        <f>+M75-SUM(M76:M79)</f>
        <v>0</v>
      </c>
    </row>
    <row r="87" spans="1:14">
      <c r="D87" s="16"/>
      <c r="H87" s="599"/>
      <c r="I87" s="639">
        <f>+I81-B81</f>
        <v>0</v>
      </c>
      <c r="J87" s="659">
        <f>+J81-C81</f>
        <v>0</v>
      </c>
      <c r="K87" s="637">
        <f>+K81-D81</f>
        <v>0</v>
      </c>
      <c r="M87" s="637">
        <f>+M81-F81</f>
        <v>0</v>
      </c>
    </row>
    <row r="88" spans="1:14">
      <c r="D88" s="16"/>
    </row>
    <row r="89" spans="1:14">
      <c r="D89" s="16"/>
    </row>
    <row r="90" spans="1:14">
      <c r="D90" s="16"/>
    </row>
    <row r="91" spans="1:14">
      <c r="D91" s="16"/>
    </row>
    <row r="92" spans="1:14">
      <c r="D92" s="16"/>
    </row>
    <row r="93" spans="1:14">
      <c r="D93" s="16"/>
    </row>
    <row r="94" spans="1:14">
      <c r="D94" s="16"/>
    </row>
    <row r="95" spans="1:14">
      <c r="D95" s="16"/>
    </row>
    <row r="96" spans="1:1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</sheetData>
  <mergeCells count="1">
    <mergeCell ref="A1:N1"/>
  </mergeCells>
  <phoneticPr fontId="23" type="noConversion"/>
  <printOptions horizontalCentered="1"/>
  <pageMargins left="0.47244094488188981" right="0.39370078740157483" top="0.98425196850393704" bottom="0.98425196850393704" header="0.51181102362204722" footer="0.51181102362204722"/>
  <pageSetup paperSize="8" scale="90" orientation="landscape" r:id="rId1"/>
  <headerFooter alignWithMargins="0">
    <oddFooter>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3" sqref="A3"/>
    </sheetView>
  </sheetViews>
  <sheetFormatPr defaultRowHeight="14.25"/>
  <cols>
    <col min="2" max="2" width="14.5" customWidth="1"/>
    <col min="3" max="4" width="17.125" customWidth="1"/>
    <col min="5" max="5" width="23" customWidth="1"/>
  </cols>
  <sheetData>
    <row r="1" spans="1:5">
      <c r="A1" s="693" t="s">
        <v>2159</v>
      </c>
      <c r="B1" s="693"/>
      <c r="C1" s="693"/>
      <c r="D1" s="693"/>
      <c r="E1" s="693"/>
    </row>
    <row r="2" spans="1:5" ht="36.75" customHeight="1">
      <c r="A2" s="693"/>
      <c r="B2" s="693"/>
      <c r="C2" s="693"/>
      <c r="D2" s="693"/>
      <c r="E2" s="693"/>
    </row>
    <row r="3" spans="1:5" ht="29.25" customHeight="1">
      <c r="A3" s="10"/>
      <c r="B3" s="10"/>
      <c r="C3" s="10"/>
      <c r="D3" s="10"/>
      <c r="E3" s="46" t="s">
        <v>925</v>
      </c>
    </row>
    <row r="4" spans="1:5" ht="38.25" customHeight="1">
      <c r="A4" s="47" t="s">
        <v>1315</v>
      </c>
      <c r="B4" s="47" t="s">
        <v>1303</v>
      </c>
      <c r="C4" s="28" t="s">
        <v>1296</v>
      </c>
      <c r="D4" s="47" t="s">
        <v>1297</v>
      </c>
      <c r="E4" s="47" t="s">
        <v>1298</v>
      </c>
    </row>
    <row r="5" spans="1:5" ht="31.5" customHeight="1">
      <c r="A5" s="48">
        <v>1</v>
      </c>
      <c r="B5" s="49" t="s">
        <v>1304</v>
      </c>
      <c r="C5" s="50">
        <v>11000</v>
      </c>
      <c r="D5" s="51">
        <v>25051</v>
      </c>
      <c r="E5" s="52">
        <f>+D5/C5</f>
        <v>2.2773636363636363</v>
      </c>
    </row>
    <row r="6" spans="1:5" ht="31.5" customHeight="1">
      <c r="A6" s="48">
        <v>2</v>
      </c>
      <c r="B6" s="49" t="s">
        <v>1305</v>
      </c>
      <c r="C6" s="50">
        <v>18500</v>
      </c>
      <c r="D6" s="51">
        <v>198737</v>
      </c>
      <c r="E6" s="52">
        <f t="shared" ref="E6:E15" si="0">+D6/C6</f>
        <v>10.74254054054054</v>
      </c>
    </row>
    <row r="7" spans="1:5" ht="31.5" customHeight="1">
      <c r="A7" s="48">
        <v>3</v>
      </c>
      <c r="B7" s="49" t="s">
        <v>1306</v>
      </c>
      <c r="C7" s="50">
        <v>60500</v>
      </c>
      <c r="D7" s="51">
        <v>68862</v>
      </c>
      <c r="E7" s="52">
        <f t="shared" si="0"/>
        <v>1.1382148760330579</v>
      </c>
    </row>
    <row r="8" spans="1:5" ht="31.5" customHeight="1">
      <c r="A8" s="48">
        <v>4</v>
      </c>
      <c r="B8" s="49" t="s">
        <v>1307</v>
      </c>
      <c r="C8" s="50">
        <v>12712.1</v>
      </c>
      <c r="D8" s="51">
        <v>27290</v>
      </c>
      <c r="E8" s="52">
        <f t="shared" si="0"/>
        <v>2.1467735464636055</v>
      </c>
    </row>
    <row r="9" spans="1:5" ht="31.5" customHeight="1">
      <c r="A9" s="48">
        <v>5</v>
      </c>
      <c r="B9" s="49" t="s">
        <v>1308</v>
      </c>
      <c r="C9" s="50">
        <v>300536.3</v>
      </c>
      <c r="D9" s="51">
        <v>178935</v>
      </c>
      <c r="E9" s="52">
        <f t="shared" si="0"/>
        <v>0.59538564892161117</v>
      </c>
    </row>
    <row r="10" spans="1:5" ht="31.5" customHeight="1">
      <c r="A10" s="48">
        <v>6</v>
      </c>
      <c r="B10" s="49" t="s">
        <v>1309</v>
      </c>
      <c r="C10" s="50">
        <v>209901.4</v>
      </c>
      <c r="D10" s="53">
        <v>389311</v>
      </c>
      <c r="E10" s="52">
        <f t="shared" si="0"/>
        <v>1.8547327459464302</v>
      </c>
    </row>
    <row r="11" spans="1:5" ht="31.5" customHeight="1">
      <c r="A11" s="48">
        <v>7</v>
      </c>
      <c r="B11" s="49" t="s">
        <v>1310</v>
      </c>
      <c r="C11" s="50">
        <v>73637.5</v>
      </c>
      <c r="D11" s="51">
        <v>103534</v>
      </c>
      <c r="E11" s="52">
        <f t="shared" si="0"/>
        <v>1.4059955864878628</v>
      </c>
    </row>
    <row r="12" spans="1:5" ht="31.5" customHeight="1">
      <c r="A12" s="48">
        <v>8</v>
      </c>
      <c r="B12" s="49" t="s">
        <v>1311</v>
      </c>
      <c r="C12" s="50">
        <v>135569.20000000001</v>
      </c>
      <c r="D12" s="51">
        <v>42122</v>
      </c>
      <c r="E12" s="52">
        <f t="shared" si="0"/>
        <v>0.31070479135378831</v>
      </c>
    </row>
    <row r="13" spans="1:5" ht="31.5" customHeight="1">
      <c r="A13" s="48">
        <v>9</v>
      </c>
      <c r="B13" s="49" t="s">
        <v>1312</v>
      </c>
      <c r="C13" s="50">
        <v>595199.19999999995</v>
      </c>
      <c r="D13" s="51">
        <v>1052564</v>
      </c>
      <c r="E13" s="52">
        <f t="shared" si="0"/>
        <v>1.7684230758374677</v>
      </c>
    </row>
    <row r="14" spans="1:5" ht="31.5" customHeight="1">
      <c r="A14" s="48">
        <v>10</v>
      </c>
      <c r="B14" s="49" t="s">
        <v>1313</v>
      </c>
      <c r="C14" s="50">
        <v>244812.5</v>
      </c>
      <c r="D14" s="54">
        <v>215089</v>
      </c>
      <c r="E14" s="52">
        <f t="shared" si="0"/>
        <v>0.87858667347459796</v>
      </c>
    </row>
    <row r="15" spans="1:5" s="33" customFormat="1" ht="38.25" customHeight="1">
      <c r="A15" s="691" t="s">
        <v>1316</v>
      </c>
      <c r="B15" s="692"/>
      <c r="C15" s="55">
        <f>SUM(C5:C14)</f>
        <v>1662368.2</v>
      </c>
      <c r="D15" s="55">
        <f>SUM(D5:D14)</f>
        <v>2301495</v>
      </c>
      <c r="E15" s="56">
        <f t="shared" si="0"/>
        <v>1.3844676528340714</v>
      </c>
    </row>
    <row r="16" spans="1:5" ht="22.5" customHeight="1"/>
  </sheetData>
  <mergeCells count="2">
    <mergeCell ref="A15:B15"/>
    <mergeCell ref="A1:E2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topLeftCell="A4" workbookViewId="0">
      <selection activeCell="A3" sqref="A3"/>
    </sheetView>
  </sheetViews>
  <sheetFormatPr defaultRowHeight="14.25"/>
  <cols>
    <col min="1" max="1" width="9" style="10"/>
    <col min="2" max="2" width="14.5" style="10" customWidth="1"/>
    <col min="3" max="4" width="17.125" style="10" customWidth="1"/>
    <col min="5" max="5" width="23" style="10" customWidth="1"/>
    <col min="6" max="16384" width="9" style="10"/>
  </cols>
  <sheetData>
    <row r="1" spans="1:5">
      <c r="A1" s="686" t="s">
        <v>2160</v>
      </c>
      <c r="B1" s="686"/>
      <c r="C1" s="686"/>
      <c r="D1" s="686"/>
      <c r="E1" s="686"/>
    </row>
    <row r="2" spans="1:5" ht="28.5" customHeight="1">
      <c r="A2" s="686"/>
      <c r="B2" s="686"/>
      <c r="C2" s="686"/>
      <c r="D2" s="686"/>
      <c r="E2" s="686"/>
    </row>
    <row r="3" spans="1:5">
      <c r="E3" s="46" t="s">
        <v>925</v>
      </c>
    </row>
    <row r="4" spans="1:5" ht="38.25" customHeight="1">
      <c r="A4" s="47" t="s">
        <v>1315</v>
      </c>
      <c r="B4" s="47" t="s">
        <v>1303</v>
      </c>
      <c r="C4" s="28" t="s">
        <v>1296</v>
      </c>
      <c r="D4" s="47" t="s">
        <v>1297</v>
      </c>
      <c r="E4" s="47" t="s">
        <v>1298</v>
      </c>
    </row>
    <row r="5" spans="1:5" ht="32.25" customHeight="1">
      <c r="A5" s="48">
        <v>1</v>
      </c>
      <c r="B5" s="49" t="s">
        <v>1304</v>
      </c>
      <c r="C5" s="50">
        <v>11000</v>
      </c>
      <c r="D5" s="51">
        <v>16133.5033</v>
      </c>
      <c r="E5" s="52">
        <f>+D5/C5</f>
        <v>1.4666821181818182</v>
      </c>
    </row>
    <row r="6" spans="1:5" ht="32.25" customHeight="1">
      <c r="A6" s="48">
        <v>2</v>
      </c>
      <c r="B6" s="49" t="s">
        <v>1305</v>
      </c>
      <c r="C6" s="50">
        <v>18500</v>
      </c>
      <c r="D6" s="51">
        <v>190433.96095000001</v>
      </c>
      <c r="E6" s="52">
        <f t="shared" ref="E6:E15" si="0">+D6/C6</f>
        <v>10.29372761891892</v>
      </c>
    </row>
    <row r="7" spans="1:5" ht="32.25" customHeight="1">
      <c r="A7" s="48">
        <v>3</v>
      </c>
      <c r="B7" s="49" t="s">
        <v>1306</v>
      </c>
      <c r="C7" s="50">
        <v>60500</v>
      </c>
      <c r="D7" s="51">
        <v>60130.971429999998</v>
      </c>
      <c r="E7" s="52">
        <f t="shared" si="0"/>
        <v>0.99390035421487599</v>
      </c>
    </row>
    <row r="8" spans="1:5" ht="32.25" customHeight="1">
      <c r="A8" s="48">
        <v>4</v>
      </c>
      <c r="B8" s="49" t="s">
        <v>1307</v>
      </c>
      <c r="C8" s="50">
        <v>12712.1</v>
      </c>
      <c r="D8" s="51">
        <v>25362.1</v>
      </c>
      <c r="E8" s="52">
        <f t="shared" si="0"/>
        <v>1.9951148905373619</v>
      </c>
    </row>
    <row r="9" spans="1:5" ht="32.25" customHeight="1">
      <c r="A9" s="48">
        <v>5</v>
      </c>
      <c r="B9" s="49" t="s">
        <v>1308</v>
      </c>
      <c r="C9" s="50">
        <v>300536.3</v>
      </c>
      <c r="D9" s="51">
        <v>130207.2</v>
      </c>
      <c r="E9" s="52">
        <f t="shared" si="0"/>
        <v>0.43324949432065279</v>
      </c>
    </row>
    <row r="10" spans="1:5" ht="32.25" customHeight="1">
      <c r="A10" s="48">
        <v>6</v>
      </c>
      <c r="B10" s="49" t="s">
        <v>1309</v>
      </c>
      <c r="C10" s="50">
        <v>209901.4</v>
      </c>
      <c r="D10" s="50">
        <v>277044.09999999998</v>
      </c>
      <c r="E10" s="52">
        <f t="shared" si="0"/>
        <v>1.3198773328810574</v>
      </c>
    </row>
    <row r="11" spans="1:5" ht="32.25" customHeight="1">
      <c r="A11" s="48">
        <v>7</v>
      </c>
      <c r="B11" s="49" t="s">
        <v>1310</v>
      </c>
      <c r="C11" s="50">
        <v>73637.5</v>
      </c>
      <c r="D11" s="50">
        <v>87987.199999999997</v>
      </c>
      <c r="E11" s="52">
        <f t="shared" si="0"/>
        <v>1.1948694618910201</v>
      </c>
    </row>
    <row r="12" spans="1:5" ht="32.25" customHeight="1">
      <c r="A12" s="48">
        <v>8</v>
      </c>
      <c r="B12" s="49" t="s">
        <v>1311</v>
      </c>
      <c r="C12" s="50">
        <v>135569.20000000001</v>
      </c>
      <c r="D12" s="50">
        <v>35452.199999999997</v>
      </c>
      <c r="E12" s="52">
        <f t="shared" si="0"/>
        <v>0.26150630084119397</v>
      </c>
    </row>
    <row r="13" spans="1:5" ht="32.25" customHeight="1">
      <c r="A13" s="48">
        <v>9</v>
      </c>
      <c r="B13" s="49" t="s">
        <v>1312</v>
      </c>
      <c r="C13" s="50">
        <v>595199.19999999995</v>
      </c>
      <c r="D13" s="50">
        <v>1033595.8</v>
      </c>
      <c r="E13" s="52">
        <f t="shared" si="0"/>
        <v>1.7365544174118517</v>
      </c>
    </row>
    <row r="14" spans="1:5" ht="32.25" customHeight="1">
      <c r="A14" s="48">
        <v>10</v>
      </c>
      <c r="B14" s="49" t="s">
        <v>1313</v>
      </c>
      <c r="C14" s="50">
        <v>244812.5</v>
      </c>
      <c r="D14" s="50">
        <v>180679.6</v>
      </c>
      <c r="E14" s="52">
        <f t="shared" si="0"/>
        <v>0.73803257595098293</v>
      </c>
    </row>
    <row r="15" spans="1:5" s="57" customFormat="1" ht="32.25" customHeight="1">
      <c r="A15" s="691" t="s">
        <v>1316</v>
      </c>
      <c r="B15" s="692"/>
      <c r="C15" s="55">
        <f>SUM(C5:C14)</f>
        <v>1662368.2</v>
      </c>
      <c r="D15" s="55">
        <f>SUM(D5:D14)</f>
        <v>2037026.6356800001</v>
      </c>
      <c r="E15" s="56">
        <f t="shared" si="0"/>
        <v>1.2253763249802301</v>
      </c>
    </row>
    <row r="16" spans="1:5" ht="22.5" customHeight="1"/>
  </sheetData>
  <mergeCells count="2">
    <mergeCell ref="A1:E2"/>
    <mergeCell ref="A15:B15"/>
  </mergeCells>
  <phoneticPr fontId="59" type="noConversion"/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9"/>
  <sheetViews>
    <sheetView workbookViewId="0">
      <selection activeCell="B19" sqref="B19"/>
    </sheetView>
  </sheetViews>
  <sheetFormatPr defaultRowHeight="14.25"/>
  <sheetData>
    <row r="19" spans="2:2" ht="35.25">
      <c r="B19" s="634" t="s">
        <v>2147</v>
      </c>
    </row>
  </sheetData>
  <phoneticPr fontId="23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topLeftCell="A16" workbookViewId="0">
      <selection activeCell="D25" sqref="D25"/>
    </sheetView>
  </sheetViews>
  <sheetFormatPr defaultColWidth="9.125" defaultRowHeight="14.25"/>
  <cols>
    <col min="1" max="1" width="22.25" style="603" bestFit="1" customWidth="1"/>
    <col min="2" max="2" width="12.125" style="603" customWidth="1"/>
    <col min="3" max="3" width="8.375" style="603" customWidth="1"/>
    <col min="4" max="4" width="16.75" style="603" bestFit="1" customWidth="1"/>
    <col min="5" max="5" width="14.125" style="603" customWidth="1"/>
    <col min="6" max="6" width="11.75" style="603" customWidth="1"/>
    <col min="7" max="251" width="9.125" style="613"/>
    <col min="252" max="252" width="25.75" style="613" customWidth="1"/>
    <col min="253" max="253" width="0" style="613" hidden="1" customWidth="1"/>
    <col min="254" max="255" width="16.75" style="613" customWidth="1"/>
    <col min="256" max="256" width="25.125" style="613" customWidth="1"/>
    <col min="257" max="257" width="0" style="613" hidden="1" customWidth="1"/>
    <col min="258" max="259" width="16.875" style="613" customWidth="1"/>
    <col min="260" max="262" width="0" style="613" hidden="1" customWidth="1"/>
    <col min="263" max="507" width="9.125" style="613"/>
    <col min="508" max="508" width="25.75" style="613" customWidth="1"/>
    <col min="509" max="509" width="0" style="613" hidden="1" customWidth="1"/>
    <col min="510" max="511" width="16.75" style="613" customWidth="1"/>
    <col min="512" max="512" width="25.125" style="613" customWidth="1"/>
    <col min="513" max="513" width="0" style="613" hidden="1" customWidth="1"/>
    <col min="514" max="515" width="16.875" style="613" customWidth="1"/>
    <col min="516" max="518" width="0" style="613" hidden="1" customWidth="1"/>
    <col min="519" max="763" width="9.125" style="613"/>
    <col min="764" max="764" width="25.75" style="613" customWidth="1"/>
    <col min="765" max="765" width="0" style="613" hidden="1" customWidth="1"/>
    <col min="766" max="767" width="16.75" style="613" customWidth="1"/>
    <col min="768" max="768" width="25.125" style="613" customWidth="1"/>
    <col min="769" max="769" width="0" style="613" hidden="1" customWidth="1"/>
    <col min="770" max="771" width="16.875" style="613" customWidth="1"/>
    <col min="772" max="774" width="0" style="613" hidden="1" customWidth="1"/>
    <col min="775" max="1019" width="9.125" style="613"/>
    <col min="1020" max="1020" width="25.75" style="613" customWidth="1"/>
    <col min="1021" max="1021" width="0" style="613" hidden="1" customWidth="1"/>
    <col min="1022" max="1023" width="16.75" style="613" customWidth="1"/>
    <col min="1024" max="1024" width="25.125" style="613" customWidth="1"/>
    <col min="1025" max="1025" width="0" style="613" hidden="1" customWidth="1"/>
    <col min="1026" max="1027" width="16.875" style="613" customWidth="1"/>
    <col min="1028" max="1030" width="0" style="613" hidden="1" customWidth="1"/>
    <col min="1031" max="1275" width="9.125" style="613"/>
    <col min="1276" max="1276" width="25.75" style="613" customWidth="1"/>
    <col min="1277" max="1277" width="0" style="613" hidden="1" customWidth="1"/>
    <col min="1278" max="1279" width="16.75" style="613" customWidth="1"/>
    <col min="1280" max="1280" width="25.125" style="613" customWidth="1"/>
    <col min="1281" max="1281" width="0" style="613" hidden="1" customWidth="1"/>
    <col min="1282" max="1283" width="16.875" style="613" customWidth="1"/>
    <col min="1284" max="1286" width="0" style="613" hidden="1" customWidth="1"/>
    <col min="1287" max="1531" width="9.125" style="613"/>
    <col min="1532" max="1532" width="25.75" style="613" customWidth="1"/>
    <col min="1533" max="1533" width="0" style="613" hidden="1" customWidth="1"/>
    <col min="1534" max="1535" width="16.75" style="613" customWidth="1"/>
    <col min="1536" max="1536" width="25.125" style="613" customWidth="1"/>
    <col min="1537" max="1537" width="0" style="613" hidden="1" customWidth="1"/>
    <col min="1538" max="1539" width="16.875" style="613" customWidth="1"/>
    <col min="1540" max="1542" width="0" style="613" hidden="1" customWidth="1"/>
    <col min="1543" max="1787" width="9.125" style="613"/>
    <col min="1788" max="1788" width="25.75" style="613" customWidth="1"/>
    <col min="1789" max="1789" width="0" style="613" hidden="1" customWidth="1"/>
    <col min="1790" max="1791" width="16.75" style="613" customWidth="1"/>
    <col min="1792" max="1792" width="25.125" style="613" customWidth="1"/>
    <col min="1793" max="1793" width="0" style="613" hidden="1" customWidth="1"/>
    <col min="1794" max="1795" width="16.875" style="613" customWidth="1"/>
    <col min="1796" max="1798" width="0" style="613" hidden="1" customWidth="1"/>
    <col min="1799" max="2043" width="9.125" style="613"/>
    <col min="2044" max="2044" width="25.75" style="613" customWidth="1"/>
    <col min="2045" max="2045" width="0" style="613" hidden="1" customWidth="1"/>
    <col min="2046" max="2047" width="16.75" style="613" customWidth="1"/>
    <col min="2048" max="2048" width="25.125" style="613" customWidth="1"/>
    <col min="2049" max="2049" width="0" style="613" hidden="1" customWidth="1"/>
    <col min="2050" max="2051" width="16.875" style="613" customWidth="1"/>
    <col min="2052" max="2054" width="0" style="613" hidden="1" customWidth="1"/>
    <col min="2055" max="2299" width="9.125" style="613"/>
    <col min="2300" max="2300" width="25.75" style="613" customWidth="1"/>
    <col min="2301" max="2301" width="0" style="613" hidden="1" customWidth="1"/>
    <col min="2302" max="2303" width="16.75" style="613" customWidth="1"/>
    <col min="2304" max="2304" width="25.125" style="613" customWidth="1"/>
    <col min="2305" max="2305" width="0" style="613" hidden="1" customWidth="1"/>
    <col min="2306" max="2307" width="16.875" style="613" customWidth="1"/>
    <col min="2308" max="2310" width="0" style="613" hidden="1" customWidth="1"/>
    <col min="2311" max="2555" width="9.125" style="613"/>
    <col min="2556" max="2556" width="25.75" style="613" customWidth="1"/>
    <col min="2557" max="2557" width="0" style="613" hidden="1" customWidth="1"/>
    <col min="2558" max="2559" width="16.75" style="613" customWidth="1"/>
    <col min="2560" max="2560" width="25.125" style="613" customWidth="1"/>
    <col min="2561" max="2561" width="0" style="613" hidden="1" customWidth="1"/>
    <col min="2562" max="2563" width="16.875" style="613" customWidth="1"/>
    <col min="2564" max="2566" width="0" style="613" hidden="1" customWidth="1"/>
    <col min="2567" max="2811" width="9.125" style="613"/>
    <col min="2812" max="2812" width="25.75" style="613" customWidth="1"/>
    <col min="2813" max="2813" width="0" style="613" hidden="1" customWidth="1"/>
    <col min="2814" max="2815" width="16.75" style="613" customWidth="1"/>
    <col min="2816" max="2816" width="25.125" style="613" customWidth="1"/>
    <col min="2817" max="2817" width="0" style="613" hidden="1" customWidth="1"/>
    <col min="2818" max="2819" width="16.875" style="613" customWidth="1"/>
    <col min="2820" max="2822" width="0" style="613" hidden="1" customWidth="1"/>
    <col min="2823" max="3067" width="9.125" style="613"/>
    <col min="3068" max="3068" width="25.75" style="613" customWidth="1"/>
    <col min="3069" max="3069" width="0" style="613" hidden="1" customWidth="1"/>
    <col min="3070" max="3071" width="16.75" style="613" customWidth="1"/>
    <col min="3072" max="3072" width="25.125" style="613" customWidth="1"/>
    <col min="3073" max="3073" width="0" style="613" hidden="1" customWidth="1"/>
    <col min="3074" max="3075" width="16.875" style="613" customWidth="1"/>
    <col min="3076" max="3078" width="0" style="613" hidden="1" customWidth="1"/>
    <col min="3079" max="3323" width="9.125" style="613"/>
    <col min="3324" max="3324" width="25.75" style="613" customWidth="1"/>
    <col min="3325" max="3325" width="0" style="613" hidden="1" customWidth="1"/>
    <col min="3326" max="3327" width="16.75" style="613" customWidth="1"/>
    <col min="3328" max="3328" width="25.125" style="613" customWidth="1"/>
    <col min="3329" max="3329" width="0" style="613" hidden="1" customWidth="1"/>
    <col min="3330" max="3331" width="16.875" style="613" customWidth="1"/>
    <col min="3332" max="3334" width="0" style="613" hidden="1" customWidth="1"/>
    <col min="3335" max="3579" width="9.125" style="613"/>
    <col min="3580" max="3580" width="25.75" style="613" customWidth="1"/>
    <col min="3581" max="3581" width="0" style="613" hidden="1" customWidth="1"/>
    <col min="3582" max="3583" width="16.75" style="613" customWidth="1"/>
    <col min="3584" max="3584" width="25.125" style="613" customWidth="1"/>
    <col min="3585" max="3585" width="0" style="613" hidden="1" customWidth="1"/>
    <col min="3586" max="3587" width="16.875" style="613" customWidth="1"/>
    <col min="3588" max="3590" width="0" style="613" hidden="1" customWidth="1"/>
    <col min="3591" max="3835" width="9.125" style="613"/>
    <col min="3836" max="3836" width="25.75" style="613" customWidth="1"/>
    <col min="3837" max="3837" width="0" style="613" hidden="1" customWidth="1"/>
    <col min="3838" max="3839" width="16.75" style="613" customWidth="1"/>
    <col min="3840" max="3840" width="25.125" style="613" customWidth="1"/>
    <col min="3841" max="3841" width="0" style="613" hidden="1" customWidth="1"/>
    <col min="3842" max="3843" width="16.875" style="613" customWidth="1"/>
    <col min="3844" max="3846" width="0" style="613" hidden="1" customWidth="1"/>
    <col min="3847" max="4091" width="9.125" style="613"/>
    <col min="4092" max="4092" width="25.75" style="613" customWidth="1"/>
    <col min="4093" max="4093" width="0" style="613" hidden="1" customWidth="1"/>
    <col min="4094" max="4095" width="16.75" style="613" customWidth="1"/>
    <col min="4096" max="4096" width="25.125" style="613" customWidth="1"/>
    <col min="4097" max="4097" width="0" style="613" hidden="1" customWidth="1"/>
    <col min="4098" max="4099" width="16.875" style="613" customWidth="1"/>
    <col min="4100" max="4102" width="0" style="613" hidden="1" customWidth="1"/>
    <col min="4103" max="4347" width="9.125" style="613"/>
    <col min="4348" max="4348" width="25.75" style="613" customWidth="1"/>
    <col min="4349" max="4349" width="0" style="613" hidden="1" customWidth="1"/>
    <col min="4350" max="4351" width="16.75" style="613" customWidth="1"/>
    <col min="4352" max="4352" width="25.125" style="613" customWidth="1"/>
    <col min="4353" max="4353" width="0" style="613" hidden="1" customWidth="1"/>
    <col min="4354" max="4355" width="16.875" style="613" customWidth="1"/>
    <col min="4356" max="4358" width="0" style="613" hidden="1" customWidth="1"/>
    <col min="4359" max="4603" width="9.125" style="613"/>
    <col min="4604" max="4604" width="25.75" style="613" customWidth="1"/>
    <col min="4605" max="4605" width="0" style="613" hidden="1" customWidth="1"/>
    <col min="4606" max="4607" width="16.75" style="613" customWidth="1"/>
    <col min="4608" max="4608" width="25.125" style="613" customWidth="1"/>
    <col min="4609" max="4609" width="0" style="613" hidden="1" customWidth="1"/>
    <col min="4610" max="4611" width="16.875" style="613" customWidth="1"/>
    <col min="4612" max="4614" width="0" style="613" hidden="1" customWidth="1"/>
    <col min="4615" max="4859" width="9.125" style="613"/>
    <col min="4860" max="4860" width="25.75" style="613" customWidth="1"/>
    <col min="4861" max="4861" width="0" style="613" hidden="1" customWidth="1"/>
    <col min="4862" max="4863" width="16.75" style="613" customWidth="1"/>
    <col min="4864" max="4864" width="25.125" style="613" customWidth="1"/>
    <col min="4865" max="4865" width="0" style="613" hidden="1" customWidth="1"/>
    <col min="4866" max="4867" width="16.875" style="613" customWidth="1"/>
    <col min="4868" max="4870" width="0" style="613" hidden="1" customWidth="1"/>
    <col min="4871" max="5115" width="9.125" style="613"/>
    <col min="5116" max="5116" width="25.75" style="613" customWidth="1"/>
    <col min="5117" max="5117" width="0" style="613" hidden="1" customWidth="1"/>
    <col min="5118" max="5119" width="16.75" style="613" customWidth="1"/>
    <col min="5120" max="5120" width="25.125" style="613" customWidth="1"/>
    <col min="5121" max="5121" width="0" style="613" hidden="1" customWidth="1"/>
    <col min="5122" max="5123" width="16.875" style="613" customWidth="1"/>
    <col min="5124" max="5126" width="0" style="613" hidden="1" customWidth="1"/>
    <col min="5127" max="5371" width="9.125" style="613"/>
    <col min="5372" max="5372" width="25.75" style="613" customWidth="1"/>
    <col min="5373" max="5373" width="0" style="613" hidden="1" customWidth="1"/>
    <col min="5374" max="5375" width="16.75" style="613" customWidth="1"/>
    <col min="5376" max="5376" width="25.125" style="613" customWidth="1"/>
    <col min="5377" max="5377" width="0" style="613" hidden="1" customWidth="1"/>
    <col min="5378" max="5379" width="16.875" style="613" customWidth="1"/>
    <col min="5380" max="5382" width="0" style="613" hidden="1" customWidth="1"/>
    <col min="5383" max="5627" width="9.125" style="613"/>
    <col min="5628" max="5628" width="25.75" style="613" customWidth="1"/>
    <col min="5629" max="5629" width="0" style="613" hidden="1" customWidth="1"/>
    <col min="5630" max="5631" width="16.75" style="613" customWidth="1"/>
    <col min="5632" max="5632" width="25.125" style="613" customWidth="1"/>
    <col min="5633" max="5633" width="0" style="613" hidden="1" customWidth="1"/>
    <col min="5634" max="5635" width="16.875" style="613" customWidth="1"/>
    <col min="5636" max="5638" width="0" style="613" hidden="1" customWidth="1"/>
    <col min="5639" max="5883" width="9.125" style="613"/>
    <col min="5884" max="5884" width="25.75" style="613" customWidth="1"/>
    <col min="5885" max="5885" width="0" style="613" hidden="1" customWidth="1"/>
    <col min="5886" max="5887" width="16.75" style="613" customWidth="1"/>
    <col min="5888" max="5888" width="25.125" style="613" customWidth="1"/>
    <col min="5889" max="5889" width="0" style="613" hidden="1" customWidth="1"/>
    <col min="5890" max="5891" width="16.875" style="613" customWidth="1"/>
    <col min="5892" max="5894" width="0" style="613" hidden="1" customWidth="1"/>
    <col min="5895" max="6139" width="9.125" style="613"/>
    <col min="6140" max="6140" width="25.75" style="613" customWidth="1"/>
    <col min="6141" max="6141" width="0" style="613" hidden="1" customWidth="1"/>
    <col min="6142" max="6143" width="16.75" style="613" customWidth="1"/>
    <col min="6144" max="6144" width="25.125" style="613" customWidth="1"/>
    <col min="6145" max="6145" width="0" style="613" hidden="1" customWidth="1"/>
    <col min="6146" max="6147" width="16.875" style="613" customWidth="1"/>
    <col min="6148" max="6150" width="0" style="613" hidden="1" customWidth="1"/>
    <col min="6151" max="6395" width="9.125" style="613"/>
    <col min="6396" max="6396" width="25.75" style="613" customWidth="1"/>
    <col min="6397" max="6397" width="0" style="613" hidden="1" customWidth="1"/>
    <col min="6398" max="6399" width="16.75" style="613" customWidth="1"/>
    <col min="6400" max="6400" width="25.125" style="613" customWidth="1"/>
    <col min="6401" max="6401" width="0" style="613" hidden="1" customWidth="1"/>
    <col min="6402" max="6403" width="16.875" style="613" customWidth="1"/>
    <col min="6404" max="6406" width="0" style="613" hidden="1" customWidth="1"/>
    <col min="6407" max="6651" width="9.125" style="613"/>
    <col min="6652" max="6652" width="25.75" style="613" customWidth="1"/>
    <col min="6653" max="6653" width="0" style="613" hidden="1" customWidth="1"/>
    <col min="6654" max="6655" width="16.75" style="613" customWidth="1"/>
    <col min="6656" max="6656" width="25.125" style="613" customWidth="1"/>
    <col min="6657" max="6657" width="0" style="613" hidden="1" customWidth="1"/>
    <col min="6658" max="6659" width="16.875" style="613" customWidth="1"/>
    <col min="6660" max="6662" width="0" style="613" hidden="1" customWidth="1"/>
    <col min="6663" max="6907" width="9.125" style="613"/>
    <col min="6908" max="6908" width="25.75" style="613" customWidth="1"/>
    <col min="6909" max="6909" width="0" style="613" hidden="1" customWidth="1"/>
    <col min="6910" max="6911" width="16.75" style="613" customWidth="1"/>
    <col min="6912" max="6912" width="25.125" style="613" customWidth="1"/>
    <col min="6913" max="6913" width="0" style="613" hidden="1" customWidth="1"/>
    <col min="6914" max="6915" width="16.875" style="613" customWidth="1"/>
    <col min="6916" max="6918" width="0" style="613" hidden="1" customWidth="1"/>
    <col min="6919" max="7163" width="9.125" style="613"/>
    <col min="7164" max="7164" width="25.75" style="613" customWidth="1"/>
    <col min="7165" max="7165" width="0" style="613" hidden="1" customWidth="1"/>
    <col min="7166" max="7167" width="16.75" style="613" customWidth="1"/>
    <col min="7168" max="7168" width="25.125" style="613" customWidth="1"/>
    <col min="7169" max="7169" width="0" style="613" hidden="1" customWidth="1"/>
    <col min="7170" max="7171" width="16.875" style="613" customWidth="1"/>
    <col min="7172" max="7174" width="0" style="613" hidden="1" customWidth="1"/>
    <col min="7175" max="7419" width="9.125" style="613"/>
    <col min="7420" max="7420" width="25.75" style="613" customWidth="1"/>
    <col min="7421" max="7421" width="0" style="613" hidden="1" customWidth="1"/>
    <col min="7422" max="7423" width="16.75" style="613" customWidth="1"/>
    <col min="7424" max="7424" width="25.125" style="613" customWidth="1"/>
    <col min="7425" max="7425" width="0" style="613" hidden="1" customWidth="1"/>
    <col min="7426" max="7427" width="16.875" style="613" customWidth="1"/>
    <col min="7428" max="7430" width="0" style="613" hidden="1" customWidth="1"/>
    <col min="7431" max="7675" width="9.125" style="613"/>
    <col min="7676" max="7676" width="25.75" style="613" customWidth="1"/>
    <col min="7677" max="7677" width="0" style="613" hidden="1" customWidth="1"/>
    <col min="7678" max="7679" width="16.75" style="613" customWidth="1"/>
    <col min="7680" max="7680" width="25.125" style="613" customWidth="1"/>
    <col min="7681" max="7681" width="0" style="613" hidden="1" customWidth="1"/>
    <col min="7682" max="7683" width="16.875" style="613" customWidth="1"/>
    <col min="7684" max="7686" width="0" style="613" hidden="1" customWidth="1"/>
    <col min="7687" max="7931" width="9.125" style="613"/>
    <col min="7932" max="7932" width="25.75" style="613" customWidth="1"/>
    <col min="7933" max="7933" width="0" style="613" hidden="1" customWidth="1"/>
    <col min="7934" max="7935" width="16.75" style="613" customWidth="1"/>
    <col min="7936" max="7936" width="25.125" style="613" customWidth="1"/>
    <col min="7937" max="7937" width="0" style="613" hidden="1" customWidth="1"/>
    <col min="7938" max="7939" width="16.875" style="613" customWidth="1"/>
    <col min="7940" max="7942" width="0" style="613" hidden="1" customWidth="1"/>
    <col min="7943" max="8187" width="9.125" style="613"/>
    <col min="8188" max="8188" width="25.75" style="613" customWidth="1"/>
    <col min="8189" max="8189" width="0" style="613" hidden="1" customWidth="1"/>
    <col min="8190" max="8191" width="16.75" style="613" customWidth="1"/>
    <col min="8192" max="8192" width="25.125" style="613" customWidth="1"/>
    <col min="8193" max="8193" width="0" style="613" hidden="1" customWidth="1"/>
    <col min="8194" max="8195" width="16.875" style="613" customWidth="1"/>
    <col min="8196" max="8198" width="0" style="613" hidden="1" customWidth="1"/>
    <col min="8199" max="8443" width="9.125" style="613"/>
    <col min="8444" max="8444" width="25.75" style="613" customWidth="1"/>
    <col min="8445" max="8445" width="0" style="613" hidden="1" customWidth="1"/>
    <col min="8446" max="8447" width="16.75" style="613" customWidth="1"/>
    <col min="8448" max="8448" width="25.125" style="613" customWidth="1"/>
    <col min="8449" max="8449" width="0" style="613" hidden="1" customWidth="1"/>
    <col min="8450" max="8451" width="16.875" style="613" customWidth="1"/>
    <col min="8452" max="8454" width="0" style="613" hidden="1" customWidth="1"/>
    <col min="8455" max="8699" width="9.125" style="613"/>
    <col min="8700" max="8700" width="25.75" style="613" customWidth="1"/>
    <col min="8701" max="8701" width="0" style="613" hidden="1" customWidth="1"/>
    <col min="8702" max="8703" width="16.75" style="613" customWidth="1"/>
    <col min="8704" max="8704" width="25.125" style="613" customWidth="1"/>
    <col min="8705" max="8705" width="0" style="613" hidden="1" customWidth="1"/>
    <col min="8706" max="8707" width="16.875" style="613" customWidth="1"/>
    <col min="8708" max="8710" width="0" style="613" hidden="1" customWidth="1"/>
    <col min="8711" max="8955" width="9.125" style="613"/>
    <col min="8956" max="8956" width="25.75" style="613" customWidth="1"/>
    <col min="8957" max="8957" width="0" style="613" hidden="1" customWidth="1"/>
    <col min="8958" max="8959" width="16.75" style="613" customWidth="1"/>
    <col min="8960" max="8960" width="25.125" style="613" customWidth="1"/>
    <col min="8961" max="8961" width="0" style="613" hidden="1" customWidth="1"/>
    <col min="8962" max="8963" width="16.875" style="613" customWidth="1"/>
    <col min="8964" max="8966" width="0" style="613" hidden="1" customWidth="1"/>
    <col min="8967" max="9211" width="9.125" style="613"/>
    <col min="9212" max="9212" width="25.75" style="613" customWidth="1"/>
    <col min="9213" max="9213" width="0" style="613" hidden="1" customWidth="1"/>
    <col min="9214" max="9215" width="16.75" style="613" customWidth="1"/>
    <col min="9216" max="9216" width="25.125" style="613" customWidth="1"/>
    <col min="9217" max="9217" width="0" style="613" hidden="1" customWidth="1"/>
    <col min="9218" max="9219" width="16.875" style="613" customWidth="1"/>
    <col min="9220" max="9222" width="0" style="613" hidden="1" customWidth="1"/>
    <col min="9223" max="9467" width="9.125" style="613"/>
    <col min="9468" max="9468" width="25.75" style="613" customWidth="1"/>
    <col min="9469" max="9469" width="0" style="613" hidden="1" customWidth="1"/>
    <col min="9470" max="9471" width="16.75" style="613" customWidth="1"/>
    <col min="9472" max="9472" width="25.125" style="613" customWidth="1"/>
    <col min="9473" max="9473" width="0" style="613" hidden="1" customWidth="1"/>
    <col min="9474" max="9475" width="16.875" style="613" customWidth="1"/>
    <col min="9476" max="9478" width="0" style="613" hidden="1" customWidth="1"/>
    <col min="9479" max="9723" width="9.125" style="613"/>
    <col min="9724" max="9724" width="25.75" style="613" customWidth="1"/>
    <col min="9725" max="9725" width="0" style="613" hidden="1" customWidth="1"/>
    <col min="9726" max="9727" width="16.75" style="613" customWidth="1"/>
    <col min="9728" max="9728" width="25.125" style="613" customWidth="1"/>
    <col min="9729" max="9729" width="0" style="613" hidden="1" customWidth="1"/>
    <col min="9730" max="9731" width="16.875" style="613" customWidth="1"/>
    <col min="9732" max="9734" width="0" style="613" hidden="1" customWidth="1"/>
    <col min="9735" max="9979" width="9.125" style="613"/>
    <col min="9980" max="9980" width="25.75" style="613" customWidth="1"/>
    <col min="9981" max="9981" width="0" style="613" hidden="1" customWidth="1"/>
    <col min="9982" max="9983" width="16.75" style="613" customWidth="1"/>
    <col min="9984" max="9984" width="25.125" style="613" customWidth="1"/>
    <col min="9985" max="9985" width="0" style="613" hidden="1" customWidth="1"/>
    <col min="9986" max="9987" width="16.875" style="613" customWidth="1"/>
    <col min="9988" max="9990" width="0" style="613" hidden="1" customWidth="1"/>
    <col min="9991" max="10235" width="9.125" style="613"/>
    <col min="10236" max="10236" width="25.75" style="613" customWidth="1"/>
    <col min="10237" max="10237" width="0" style="613" hidden="1" customWidth="1"/>
    <col min="10238" max="10239" width="16.75" style="613" customWidth="1"/>
    <col min="10240" max="10240" width="25.125" style="613" customWidth="1"/>
    <col min="10241" max="10241" width="0" style="613" hidden="1" customWidth="1"/>
    <col min="10242" max="10243" width="16.875" style="613" customWidth="1"/>
    <col min="10244" max="10246" width="0" style="613" hidden="1" customWidth="1"/>
    <col min="10247" max="10491" width="9.125" style="613"/>
    <col min="10492" max="10492" width="25.75" style="613" customWidth="1"/>
    <col min="10493" max="10493" width="0" style="613" hidden="1" customWidth="1"/>
    <col min="10494" max="10495" width="16.75" style="613" customWidth="1"/>
    <col min="10496" max="10496" width="25.125" style="613" customWidth="1"/>
    <col min="10497" max="10497" width="0" style="613" hidden="1" customWidth="1"/>
    <col min="10498" max="10499" width="16.875" style="613" customWidth="1"/>
    <col min="10500" max="10502" width="0" style="613" hidden="1" customWidth="1"/>
    <col min="10503" max="10747" width="9.125" style="613"/>
    <col min="10748" max="10748" width="25.75" style="613" customWidth="1"/>
    <col min="10749" max="10749" width="0" style="613" hidden="1" customWidth="1"/>
    <col min="10750" max="10751" width="16.75" style="613" customWidth="1"/>
    <col min="10752" max="10752" width="25.125" style="613" customWidth="1"/>
    <col min="10753" max="10753" width="0" style="613" hidden="1" customWidth="1"/>
    <col min="10754" max="10755" width="16.875" style="613" customWidth="1"/>
    <col min="10756" max="10758" width="0" style="613" hidden="1" customWidth="1"/>
    <col min="10759" max="11003" width="9.125" style="613"/>
    <col min="11004" max="11004" width="25.75" style="613" customWidth="1"/>
    <col min="11005" max="11005" width="0" style="613" hidden="1" customWidth="1"/>
    <col min="11006" max="11007" width="16.75" style="613" customWidth="1"/>
    <col min="11008" max="11008" width="25.125" style="613" customWidth="1"/>
    <col min="11009" max="11009" width="0" style="613" hidden="1" customWidth="1"/>
    <col min="11010" max="11011" width="16.875" style="613" customWidth="1"/>
    <col min="11012" max="11014" width="0" style="613" hidden="1" customWidth="1"/>
    <col min="11015" max="11259" width="9.125" style="613"/>
    <col min="11260" max="11260" width="25.75" style="613" customWidth="1"/>
    <col min="11261" max="11261" width="0" style="613" hidden="1" customWidth="1"/>
    <col min="11262" max="11263" width="16.75" style="613" customWidth="1"/>
    <col min="11264" max="11264" width="25.125" style="613" customWidth="1"/>
    <col min="11265" max="11265" width="0" style="613" hidden="1" customWidth="1"/>
    <col min="11266" max="11267" width="16.875" style="613" customWidth="1"/>
    <col min="11268" max="11270" width="0" style="613" hidden="1" customWidth="1"/>
    <col min="11271" max="11515" width="9.125" style="613"/>
    <col min="11516" max="11516" width="25.75" style="613" customWidth="1"/>
    <col min="11517" max="11517" width="0" style="613" hidden="1" customWidth="1"/>
    <col min="11518" max="11519" width="16.75" style="613" customWidth="1"/>
    <col min="11520" max="11520" width="25.125" style="613" customWidth="1"/>
    <col min="11521" max="11521" width="0" style="613" hidden="1" customWidth="1"/>
    <col min="11522" max="11523" width="16.875" style="613" customWidth="1"/>
    <col min="11524" max="11526" width="0" style="613" hidden="1" customWidth="1"/>
    <col min="11527" max="11771" width="9.125" style="613"/>
    <col min="11772" max="11772" width="25.75" style="613" customWidth="1"/>
    <col min="11773" max="11773" width="0" style="613" hidden="1" customWidth="1"/>
    <col min="11774" max="11775" width="16.75" style="613" customWidth="1"/>
    <col min="11776" max="11776" width="25.125" style="613" customWidth="1"/>
    <col min="11777" max="11777" width="0" style="613" hidden="1" customWidth="1"/>
    <col min="11778" max="11779" width="16.875" style="613" customWidth="1"/>
    <col min="11780" max="11782" width="0" style="613" hidden="1" customWidth="1"/>
    <col min="11783" max="12027" width="9.125" style="613"/>
    <col min="12028" max="12028" width="25.75" style="613" customWidth="1"/>
    <col min="12029" max="12029" width="0" style="613" hidden="1" customWidth="1"/>
    <col min="12030" max="12031" width="16.75" style="613" customWidth="1"/>
    <col min="12032" max="12032" width="25.125" style="613" customWidth="1"/>
    <col min="12033" max="12033" width="0" style="613" hidden="1" customWidth="1"/>
    <col min="12034" max="12035" width="16.875" style="613" customWidth="1"/>
    <col min="12036" max="12038" width="0" style="613" hidden="1" customWidth="1"/>
    <col min="12039" max="12283" width="9.125" style="613"/>
    <col min="12284" max="12284" width="25.75" style="613" customWidth="1"/>
    <col min="12285" max="12285" width="0" style="613" hidden="1" customWidth="1"/>
    <col min="12286" max="12287" width="16.75" style="613" customWidth="1"/>
    <col min="12288" max="12288" width="25.125" style="613" customWidth="1"/>
    <col min="12289" max="12289" width="0" style="613" hidden="1" customWidth="1"/>
    <col min="12290" max="12291" width="16.875" style="613" customWidth="1"/>
    <col min="12292" max="12294" width="0" style="613" hidden="1" customWidth="1"/>
    <col min="12295" max="12539" width="9.125" style="613"/>
    <col min="12540" max="12540" width="25.75" style="613" customWidth="1"/>
    <col min="12541" max="12541" width="0" style="613" hidden="1" customWidth="1"/>
    <col min="12542" max="12543" width="16.75" style="613" customWidth="1"/>
    <col min="12544" max="12544" width="25.125" style="613" customWidth="1"/>
    <col min="12545" max="12545" width="0" style="613" hidden="1" customWidth="1"/>
    <col min="12546" max="12547" width="16.875" style="613" customWidth="1"/>
    <col min="12548" max="12550" width="0" style="613" hidden="1" customWidth="1"/>
    <col min="12551" max="12795" width="9.125" style="613"/>
    <col min="12796" max="12796" width="25.75" style="613" customWidth="1"/>
    <col min="12797" max="12797" width="0" style="613" hidden="1" customWidth="1"/>
    <col min="12798" max="12799" width="16.75" style="613" customWidth="1"/>
    <col min="12800" max="12800" width="25.125" style="613" customWidth="1"/>
    <col min="12801" max="12801" width="0" style="613" hidden="1" customWidth="1"/>
    <col min="12802" max="12803" width="16.875" style="613" customWidth="1"/>
    <col min="12804" max="12806" width="0" style="613" hidden="1" customWidth="1"/>
    <col min="12807" max="13051" width="9.125" style="613"/>
    <col min="13052" max="13052" width="25.75" style="613" customWidth="1"/>
    <col min="13053" max="13053" width="0" style="613" hidden="1" customWidth="1"/>
    <col min="13054" max="13055" width="16.75" style="613" customWidth="1"/>
    <col min="13056" max="13056" width="25.125" style="613" customWidth="1"/>
    <col min="13057" max="13057" width="0" style="613" hidden="1" customWidth="1"/>
    <col min="13058" max="13059" width="16.875" style="613" customWidth="1"/>
    <col min="13060" max="13062" width="0" style="613" hidden="1" customWidth="1"/>
    <col min="13063" max="13307" width="9.125" style="613"/>
    <col min="13308" max="13308" width="25.75" style="613" customWidth="1"/>
    <col min="13309" max="13309" width="0" style="613" hidden="1" customWidth="1"/>
    <col min="13310" max="13311" width="16.75" style="613" customWidth="1"/>
    <col min="13312" max="13312" width="25.125" style="613" customWidth="1"/>
    <col min="13313" max="13313" width="0" style="613" hidden="1" customWidth="1"/>
    <col min="13314" max="13315" width="16.875" style="613" customWidth="1"/>
    <col min="13316" max="13318" width="0" style="613" hidden="1" customWidth="1"/>
    <col min="13319" max="13563" width="9.125" style="613"/>
    <col min="13564" max="13564" width="25.75" style="613" customWidth="1"/>
    <col min="13565" max="13565" width="0" style="613" hidden="1" customWidth="1"/>
    <col min="13566" max="13567" width="16.75" style="613" customWidth="1"/>
    <col min="13568" max="13568" width="25.125" style="613" customWidth="1"/>
    <col min="13569" max="13569" width="0" style="613" hidden="1" customWidth="1"/>
    <col min="13570" max="13571" width="16.875" style="613" customWidth="1"/>
    <col min="13572" max="13574" width="0" style="613" hidden="1" customWidth="1"/>
    <col min="13575" max="13819" width="9.125" style="613"/>
    <col min="13820" max="13820" width="25.75" style="613" customWidth="1"/>
    <col min="13821" max="13821" width="0" style="613" hidden="1" customWidth="1"/>
    <col min="13822" max="13823" width="16.75" style="613" customWidth="1"/>
    <col min="13824" max="13824" width="25.125" style="613" customWidth="1"/>
    <col min="13825" max="13825" width="0" style="613" hidden="1" customWidth="1"/>
    <col min="13826" max="13827" width="16.875" style="613" customWidth="1"/>
    <col min="13828" max="13830" width="0" style="613" hidden="1" customWidth="1"/>
    <col min="13831" max="14075" width="9.125" style="613"/>
    <col min="14076" max="14076" width="25.75" style="613" customWidth="1"/>
    <col min="14077" max="14077" width="0" style="613" hidden="1" customWidth="1"/>
    <col min="14078" max="14079" width="16.75" style="613" customWidth="1"/>
    <col min="14080" max="14080" width="25.125" style="613" customWidth="1"/>
    <col min="14081" max="14081" width="0" style="613" hidden="1" customWidth="1"/>
    <col min="14082" max="14083" width="16.875" style="613" customWidth="1"/>
    <col min="14084" max="14086" width="0" style="613" hidden="1" customWidth="1"/>
    <col min="14087" max="14331" width="9.125" style="613"/>
    <col min="14332" max="14332" width="25.75" style="613" customWidth="1"/>
    <col min="14333" max="14333" width="0" style="613" hidden="1" customWidth="1"/>
    <col min="14334" max="14335" width="16.75" style="613" customWidth="1"/>
    <col min="14336" max="14336" width="25.125" style="613" customWidth="1"/>
    <col min="14337" max="14337" width="0" style="613" hidden="1" customWidth="1"/>
    <col min="14338" max="14339" width="16.875" style="613" customWidth="1"/>
    <col min="14340" max="14342" width="0" style="613" hidden="1" customWidth="1"/>
    <col min="14343" max="14587" width="9.125" style="613"/>
    <col min="14588" max="14588" width="25.75" style="613" customWidth="1"/>
    <col min="14589" max="14589" width="0" style="613" hidden="1" customWidth="1"/>
    <col min="14590" max="14591" width="16.75" style="613" customWidth="1"/>
    <col min="14592" max="14592" width="25.125" style="613" customWidth="1"/>
    <col min="14593" max="14593" width="0" style="613" hidden="1" customWidth="1"/>
    <col min="14594" max="14595" width="16.875" style="613" customWidth="1"/>
    <col min="14596" max="14598" width="0" style="613" hidden="1" customWidth="1"/>
    <col min="14599" max="14843" width="9.125" style="613"/>
    <col min="14844" max="14844" width="25.75" style="613" customWidth="1"/>
    <col min="14845" max="14845" width="0" style="613" hidden="1" customWidth="1"/>
    <col min="14846" max="14847" width="16.75" style="613" customWidth="1"/>
    <col min="14848" max="14848" width="25.125" style="613" customWidth="1"/>
    <col min="14849" max="14849" width="0" style="613" hidden="1" customWidth="1"/>
    <col min="14850" max="14851" width="16.875" style="613" customWidth="1"/>
    <col min="14852" max="14854" width="0" style="613" hidden="1" customWidth="1"/>
    <col min="14855" max="15099" width="9.125" style="613"/>
    <col min="15100" max="15100" width="25.75" style="613" customWidth="1"/>
    <col min="15101" max="15101" width="0" style="613" hidden="1" customWidth="1"/>
    <col min="15102" max="15103" width="16.75" style="613" customWidth="1"/>
    <col min="15104" max="15104" width="25.125" style="613" customWidth="1"/>
    <col min="15105" max="15105" width="0" style="613" hidden="1" customWidth="1"/>
    <col min="15106" max="15107" width="16.875" style="613" customWidth="1"/>
    <col min="15108" max="15110" width="0" style="613" hidden="1" customWidth="1"/>
    <col min="15111" max="15355" width="9.125" style="613"/>
    <col min="15356" max="15356" width="25.75" style="613" customWidth="1"/>
    <col min="15357" max="15357" width="0" style="613" hidden="1" customWidth="1"/>
    <col min="15358" max="15359" width="16.75" style="613" customWidth="1"/>
    <col min="15360" max="15360" width="25.125" style="613" customWidth="1"/>
    <col min="15361" max="15361" width="0" style="613" hidden="1" customWidth="1"/>
    <col min="15362" max="15363" width="16.875" style="613" customWidth="1"/>
    <col min="15364" max="15366" width="0" style="613" hidden="1" customWidth="1"/>
    <col min="15367" max="15611" width="9.125" style="613"/>
    <col min="15612" max="15612" width="25.75" style="613" customWidth="1"/>
    <col min="15613" max="15613" width="0" style="613" hidden="1" customWidth="1"/>
    <col min="15614" max="15615" width="16.75" style="613" customWidth="1"/>
    <col min="15616" max="15616" width="25.125" style="613" customWidth="1"/>
    <col min="15617" max="15617" width="0" style="613" hidden="1" customWidth="1"/>
    <col min="15618" max="15619" width="16.875" style="613" customWidth="1"/>
    <col min="15620" max="15622" width="0" style="613" hidden="1" customWidth="1"/>
    <col min="15623" max="15867" width="9.125" style="613"/>
    <col min="15868" max="15868" width="25.75" style="613" customWidth="1"/>
    <col min="15869" max="15869" width="0" style="613" hidden="1" customWidth="1"/>
    <col min="15870" max="15871" width="16.75" style="613" customWidth="1"/>
    <col min="15872" max="15872" width="25.125" style="613" customWidth="1"/>
    <col min="15873" max="15873" width="0" style="613" hidden="1" customWidth="1"/>
    <col min="15874" max="15875" width="16.875" style="613" customWidth="1"/>
    <col min="15876" max="15878" width="0" style="613" hidden="1" customWidth="1"/>
    <col min="15879" max="16123" width="9.125" style="613"/>
    <col min="16124" max="16124" width="25.75" style="613" customWidth="1"/>
    <col min="16125" max="16125" width="0" style="613" hidden="1" customWidth="1"/>
    <col min="16126" max="16127" width="16.75" style="613" customWidth="1"/>
    <col min="16128" max="16128" width="25.125" style="613" customWidth="1"/>
    <col min="16129" max="16129" width="0" style="613" hidden="1" customWidth="1"/>
    <col min="16130" max="16131" width="16.875" style="613" customWidth="1"/>
    <col min="16132" max="16134" width="0" style="613" hidden="1" customWidth="1"/>
    <col min="16135" max="16384" width="9.125" style="613"/>
  </cols>
  <sheetData>
    <row r="1" spans="1:14" s="601" customFormat="1" ht="33.75" customHeight="1">
      <c r="A1" s="704" t="s">
        <v>2152</v>
      </c>
      <c r="B1" s="704"/>
      <c r="C1" s="704"/>
      <c r="D1" s="704"/>
      <c r="E1" s="704"/>
      <c r="F1" s="704"/>
    </row>
    <row r="2" spans="1:14" s="601" customFormat="1" ht="17.100000000000001" customHeight="1">
      <c r="A2" s="705" t="s">
        <v>2054</v>
      </c>
      <c r="B2" s="705"/>
      <c r="C2" s="705"/>
      <c r="D2" s="705"/>
      <c r="E2" s="705"/>
      <c r="F2" s="705"/>
    </row>
    <row r="3" spans="1:14" s="601" customFormat="1" ht="26.25" customHeight="1">
      <c r="A3" s="611" t="s">
        <v>2055</v>
      </c>
      <c r="B3" s="611" t="s">
        <v>1475</v>
      </c>
      <c r="C3" s="611" t="s">
        <v>1050</v>
      </c>
      <c r="D3" s="611" t="s">
        <v>2055</v>
      </c>
      <c r="E3" s="611" t="s">
        <v>1475</v>
      </c>
      <c r="F3" s="611" t="s">
        <v>1050</v>
      </c>
    </row>
    <row r="4" spans="1:14" s="601" customFormat="1" ht="26.25" customHeight="1">
      <c r="A4" s="604" t="s">
        <v>2056</v>
      </c>
      <c r="B4" s="605">
        <v>140126</v>
      </c>
      <c r="C4" s="605">
        <v>182640</v>
      </c>
      <c r="D4" s="604" t="s">
        <v>114</v>
      </c>
      <c r="E4" s="605"/>
      <c r="F4" s="605">
        <v>0</v>
      </c>
    </row>
    <row r="5" spans="1:14" s="601" customFormat="1" ht="26.25" customHeight="1">
      <c r="A5" s="604" t="s">
        <v>2057</v>
      </c>
      <c r="B5" s="605">
        <v>151869</v>
      </c>
      <c r="C5" s="605">
        <v>247830</v>
      </c>
      <c r="D5" s="604" t="s">
        <v>166</v>
      </c>
      <c r="E5" s="605">
        <v>2000</v>
      </c>
      <c r="F5" s="605">
        <v>1980</v>
      </c>
    </row>
    <row r="6" spans="1:14" s="601" customFormat="1" ht="26.25" customHeight="1">
      <c r="A6" s="604" t="s">
        <v>2058</v>
      </c>
      <c r="B6" s="605"/>
      <c r="C6" s="605">
        <v>0</v>
      </c>
      <c r="D6" s="604" t="s">
        <v>214</v>
      </c>
      <c r="E6" s="605">
        <v>97</v>
      </c>
      <c r="F6" s="605">
        <v>97</v>
      </c>
    </row>
    <row r="7" spans="1:14" s="601" customFormat="1" ht="26.25" customHeight="1">
      <c r="A7" s="604" t="s">
        <v>2059</v>
      </c>
      <c r="B7" s="605"/>
      <c r="C7" s="605">
        <v>0</v>
      </c>
      <c r="D7" s="604" t="s">
        <v>419</v>
      </c>
      <c r="E7" s="605"/>
      <c r="F7" s="605">
        <v>0</v>
      </c>
    </row>
    <row r="8" spans="1:14" s="601" customFormat="1" ht="26.25" customHeight="1">
      <c r="A8" s="604" t="s">
        <v>2060</v>
      </c>
      <c r="B8" s="605">
        <v>47710</v>
      </c>
      <c r="C8" s="605">
        <v>46184</v>
      </c>
      <c r="D8" s="604" t="s">
        <v>491</v>
      </c>
      <c r="E8" s="605">
        <v>70000</v>
      </c>
      <c r="F8" s="605">
        <v>80000</v>
      </c>
    </row>
    <row r="9" spans="1:14" s="601" customFormat="1" ht="26.25" customHeight="1">
      <c r="A9" s="604"/>
      <c r="B9" s="605"/>
      <c r="C9" s="605"/>
      <c r="D9" s="604" t="s">
        <v>512</v>
      </c>
      <c r="E9" s="605"/>
      <c r="F9" s="605">
        <v>0</v>
      </c>
    </row>
    <row r="10" spans="1:14" s="601" customFormat="1" ht="26.25" customHeight="1">
      <c r="A10" s="604"/>
      <c r="B10" s="605"/>
      <c r="C10" s="605"/>
      <c r="D10" s="604" t="s">
        <v>622</v>
      </c>
      <c r="E10" s="605">
        <v>60000</v>
      </c>
      <c r="F10" s="605">
        <v>10000</v>
      </c>
    </row>
    <row r="11" spans="1:14" s="601" customFormat="1" ht="26.25" customHeight="1">
      <c r="A11" s="604"/>
      <c r="B11" s="605"/>
      <c r="C11" s="605"/>
      <c r="D11" s="604" t="s">
        <v>681</v>
      </c>
      <c r="E11" s="605"/>
      <c r="F11" s="605">
        <v>0</v>
      </c>
    </row>
    <row r="12" spans="1:14" s="601" customFormat="1" ht="26.25" customHeight="1">
      <c r="A12" s="604"/>
      <c r="B12" s="605"/>
      <c r="C12" s="605"/>
      <c r="D12" s="604" t="s">
        <v>736</v>
      </c>
      <c r="E12" s="605">
        <v>20000</v>
      </c>
      <c r="F12" s="605">
        <v>20000</v>
      </c>
    </row>
    <row r="13" spans="1:14" s="601" customFormat="1" ht="26.25" customHeight="1">
      <c r="A13" s="604"/>
      <c r="B13" s="605"/>
      <c r="C13" s="605"/>
      <c r="D13" s="604" t="s">
        <v>753</v>
      </c>
      <c r="E13" s="605"/>
      <c r="F13" s="605">
        <v>0</v>
      </c>
    </row>
    <row r="14" spans="1:14" s="601" customFormat="1" ht="26.25" customHeight="1">
      <c r="A14" s="604"/>
      <c r="B14" s="605"/>
      <c r="C14" s="605"/>
      <c r="D14" s="604" t="s">
        <v>1408</v>
      </c>
      <c r="E14" s="605">
        <v>174270</v>
      </c>
      <c r="F14" s="605">
        <v>173481</v>
      </c>
    </row>
    <row r="15" spans="1:14" s="627" customFormat="1" ht="26.25" customHeight="1">
      <c r="A15" s="625" t="s">
        <v>2061</v>
      </c>
      <c r="B15" s="626">
        <v>339705</v>
      </c>
      <c r="C15" s="626">
        <v>476654</v>
      </c>
      <c r="D15" s="625" t="s">
        <v>2062</v>
      </c>
      <c r="E15" s="626">
        <f>SUM(E4:E14)</f>
        <v>326367</v>
      </c>
      <c r="F15" s="626">
        <v>285558</v>
      </c>
      <c r="H15" s="642"/>
      <c r="I15" s="642"/>
      <c r="K15" s="642"/>
      <c r="L15" s="642"/>
      <c r="N15" s="642"/>
    </row>
    <row r="16" spans="1:14" s="601" customFormat="1" ht="26.25" customHeight="1">
      <c r="A16" s="604" t="s">
        <v>2063</v>
      </c>
      <c r="B16" s="605"/>
      <c r="C16" s="605">
        <v>0</v>
      </c>
      <c r="D16" s="604" t="s">
        <v>2065</v>
      </c>
      <c r="E16" s="605">
        <v>13464</v>
      </c>
      <c r="F16" s="605">
        <v>13464</v>
      </c>
    </row>
    <row r="17" spans="1:6" s="601" customFormat="1" ht="26.25" customHeight="1">
      <c r="A17" s="604" t="s">
        <v>2064</v>
      </c>
      <c r="B17" s="605"/>
      <c r="C17" s="605">
        <v>0</v>
      </c>
      <c r="D17" s="604" t="s">
        <v>2067</v>
      </c>
      <c r="E17" s="192">
        <v>42</v>
      </c>
      <c r="F17" s="605">
        <v>187287</v>
      </c>
    </row>
    <row r="18" spans="1:6" s="601" customFormat="1" ht="26.25" customHeight="1">
      <c r="A18" s="604" t="s">
        <v>2066</v>
      </c>
      <c r="B18" s="192">
        <v>168</v>
      </c>
      <c r="C18" s="605">
        <v>9655</v>
      </c>
      <c r="D18" s="604"/>
      <c r="E18" s="605"/>
      <c r="F18" s="605"/>
    </row>
    <row r="19" spans="1:6" s="601" customFormat="1" ht="26.25" customHeight="1">
      <c r="A19" s="604"/>
      <c r="B19" s="192"/>
      <c r="C19" s="605"/>
      <c r="D19" s="604"/>
      <c r="E19" s="192"/>
      <c r="F19" s="605"/>
    </row>
    <row r="20" spans="1:6" s="601" customFormat="1" ht="26.25" customHeight="1">
      <c r="A20" s="604"/>
      <c r="B20" s="605"/>
      <c r="C20" s="605"/>
      <c r="D20" s="604"/>
      <c r="E20" s="605"/>
      <c r="F20" s="605"/>
    </row>
    <row r="21" spans="1:6" s="627" customFormat="1" ht="26.25" customHeight="1">
      <c r="A21" s="625" t="s">
        <v>2068</v>
      </c>
      <c r="B21" s="626">
        <f>+B15+B18</f>
        <v>339873</v>
      </c>
      <c r="C21" s="626">
        <v>486309</v>
      </c>
      <c r="D21" s="625" t="s">
        <v>2069</v>
      </c>
      <c r="E21" s="626">
        <f>SUM(E15:E17)</f>
        <v>339873</v>
      </c>
      <c r="F21" s="626">
        <v>486309</v>
      </c>
    </row>
    <row r="22" spans="1:6" s="612" customFormat="1"/>
    <row r="23" spans="1:6">
      <c r="B23" s="603">
        <f>+B21-SUM(B4:B8)-B18</f>
        <v>0</v>
      </c>
      <c r="C23" s="603">
        <f>+C21-SUM(C4:C8)-C18</f>
        <v>0</v>
      </c>
      <c r="E23" s="603">
        <f>+E21-SUM(E4:E14)-SUM(E16:E17)</f>
        <v>0</v>
      </c>
      <c r="F23" s="603">
        <f>+F21-SUM(F4:F14)-SUM(F16:F17)</f>
        <v>0</v>
      </c>
    </row>
    <row r="24" spans="1:6">
      <c r="B24" s="603">
        <f>+B21-B15-SUM(B16:B18)</f>
        <v>0</v>
      </c>
      <c r="C24" s="603">
        <f>+C21-C15-SUM(C16:C18)</f>
        <v>0</v>
      </c>
      <c r="E24" s="603">
        <f>+E21-SUM(E15:E17)</f>
        <v>0</v>
      </c>
      <c r="F24" s="603">
        <f>+F21-SUM(F15:F17)</f>
        <v>0</v>
      </c>
    </row>
    <row r="25" spans="1:6">
      <c r="B25" s="603">
        <f>+B15-SUM(B4:B8)</f>
        <v>0</v>
      </c>
      <c r="C25" s="603">
        <f>+C15-SUM(C4:C8)</f>
        <v>0</v>
      </c>
      <c r="E25" s="603">
        <f>+E15-SUM(E4:E14)</f>
        <v>0</v>
      </c>
      <c r="F25" s="603">
        <f>+F15-SUM(F4:F14)</f>
        <v>0</v>
      </c>
    </row>
  </sheetData>
  <mergeCells count="2">
    <mergeCell ref="A1:F1"/>
    <mergeCell ref="A2:F2"/>
  </mergeCells>
  <phoneticPr fontId="23" type="noConversion"/>
  <printOptions horizontalCentered="1" verticalCentered="1" gridLines="1"/>
  <pageMargins left="0.67" right="0.42" top="0.98425196850393704" bottom="0.98425196850393704" header="0.51181102362204722" footer="0.51181102362204722"/>
  <pageSetup paperSize="9" orientation="portrait" blackAndWhite="1" r:id="rId1"/>
  <headerFooter alignWithMargins="0">
    <oddFooter>第 &amp;P 页，共 &amp;N 页</oddFooter>
  </headerFooter>
  <ignoredErrors>
    <ignoredError sqref="F2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4"/>
  <sheetViews>
    <sheetView showGridLines="0" showZeros="0" topLeftCell="A121" workbookViewId="0">
      <selection activeCell="C134" sqref="C134"/>
    </sheetView>
  </sheetViews>
  <sheetFormatPr defaultColWidth="9.125" defaultRowHeight="14.25"/>
  <cols>
    <col min="1" max="1" width="34.5" style="603" customWidth="1"/>
    <col min="2" max="2" width="12.875" style="603" customWidth="1"/>
    <col min="3" max="3" width="33.125" style="603" customWidth="1"/>
    <col min="4" max="4" width="18.625" style="603" customWidth="1"/>
    <col min="5" max="256" width="9.125" style="613"/>
    <col min="257" max="257" width="34.5" style="613" customWidth="1"/>
    <col min="258" max="258" width="23.625" style="613" customWidth="1"/>
    <col min="259" max="259" width="33.125" style="613" customWidth="1"/>
    <col min="260" max="260" width="23.625" style="613" customWidth="1"/>
    <col min="261" max="512" width="9.125" style="613"/>
    <col min="513" max="513" width="34.5" style="613" customWidth="1"/>
    <col min="514" max="514" width="23.625" style="613" customWidth="1"/>
    <col min="515" max="515" width="33.125" style="613" customWidth="1"/>
    <col min="516" max="516" width="23.625" style="613" customWidth="1"/>
    <col min="517" max="768" width="9.125" style="613"/>
    <col min="769" max="769" width="34.5" style="613" customWidth="1"/>
    <col min="770" max="770" width="23.625" style="613" customWidth="1"/>
    <col min="771" max="771" width="33.125" style="613" customWidth="1"/>
    <col min="772" max="772" width="23.625" style="613" customWidth="1"/>
    <col min="773" max="1024" width="9.125" style="613"/>
    <col min="1025" max="1025" width="34.5" style="613" customWidth="1"/>
    <col min="1026" max="1026" width="23.625" style="613" customWidth="1"/>
    <col min="1027" max="1027" width="33.125" style="613" customWidth="1"/>
    <col min="1028" max="1028" width="23.625" style="613" customWidth="1"/>
    <col min="1029" max="1280" width="9.125" style="613"/>
    <col min="1281" max="1281" width="34.5" style="613" customWidth="1"/>
    <col min="1282" max="1282" width="23.625" style="613" customWidth="1"/>
    <col min="1283" max="1283" width="33.125" style="613" customWidth="1"/>
    <col min="1284" max="1284" width="23.625" style="613" customWidth="1"/>
    <col min="1285" max="1536" width="9.125" style="613"/>
    <col min="1537" max="1537" width="34.5" style="613" customWidth="1"/>
    <col min="1538" max="1538" width="23.625" style="613" customWidth="1"/>
    <col min="1539" max="1539" width="33.125" style="613" customWidth="1"/>
    <col min="1540" max="1540" width="23.625" style="613" customWidth="1"/>
    <col min="1541" max="1792" width="9.125" style="613"/>
    <col min="1793" max="1793" width="34.5" style="613" customWidth="1"/>
    <col min="1794" max="1794" width="23.625" style="613" customWidth="1"/>
    <col min="1795" max="1795" width="33.125" style="613" customWidth="1"/>
    <col min="1796" max="1796" width="23.625" style="613" customWidth="1"/>
    <col min="1797" max="2048" width="9.125" style="613"/>
    <col min="2049" max="2049" width="34.5" style="613" customWidth="1"/>
    <col min="2050" max="2050" width="23.625" style="613" customWidth="1"/>
    <col min="2051" max="2051" width="33.125" style="613" customWidth="1"/>
    <col min="2052" max="2052" width="23.625" style="613" customWidth="1"/>
    <col min="2053" max="2304" width="9.125" style="613"/>
    <col min="2305" max="2305" width="34.5" style="613" customWidth="1"/>
    <col min="2306" max="2306" width="23.625" style="613" customWidth="1"/>
    <col min="2307" max="2307" width="33.125" style="613" customWidth="1"/>
    <col min="2308" max="2308" width="23.625" style="613" customWidth="1"/>
    <col min="2309" max="2560" width="9.125" style="613"/>
    <col min="2561" max="2561" width="34.5" style="613" customWidth="1"/>
    <col min="2562" max="2562" width="23.625" style="613" customWidth="1"/>
    <col min="2563" max="2563" width="33.125" style="613" customWidth="1"/>
    <col min="2564" max="2564" width="23.625" style="613" customWidth="1"/>
    <col min="2565" max="2816" width="9.125" style="613"/>
    <col min="2817" max="2817" width="34.5" style="613" customWidth="1"/>
    <col min="2818" max="2818" width="23.625" style="613" customWidth="1"/>
    <col min="2819" max="2819" width="33.125" style="613" customWidth="1"/>
    <col min="2820" max="2820" width="23.625" style="613" customWidth="1"/>
    <col min="2821" max="3072" width="9.125" style="613"/>
    <col min="3073" max="3073" width="34.5" style="613" customWidth="1"/>
    <col min="3074" max="3074" width="23.625" style="613" customWidth="1"/>
    <col min="3075" max="3075" width="33.125" style="613" customWidth="1"/>
    <col min="3076" max="3076" width="23.625" style="613" customWidth="1"/>
    <col min="3077" max="3328" width="9.125" style="613"/>
    <col min="3329" max="3329" width="34.5" style="613" customWidth="1"/>
    <col min="3330" max="3330" width="23.625" style="613" customWidth="1"/>
    <col min="3331" max="3331" width="33.125" style="613" customWidth="1"/>
    <col min="3332" max="3332" width="23.625" style="613" customWidth="1"/>
    <col min="3333" max="3584" width="9.125" style="613"/>
    <col min="3585" max="3585" width="34.5" style="613" customWidth="1"/>
    <col min="3586" max="3586" width="23.625" style="613" customWidth="1"/>
    <col min="3587" max="3587" width="33.125" style="613" customWidth="1"/>
    <col min="3588" max="3588" width="23.625" style="613" customWidth="1"/>
    <col min="3589" max="3840" width="9.125" style="613"/>
    <col min="3841" max="3841" width="34.5" style="613" customWidth="1"/>
    <col min="3842" max="3842" width="23.625" style="613" customWidth="1"/>
    <col min="3843" max="3843" width="33.125" style="613" customWidth="1"/>
    <col min="3844" max="3844" width="23.625" style="613" customWidth="1"/>
    <col min="3845" max="4096" width="9.125" style="613"/>
    <col min="4097" max="4097" width="34.5" style="613" customWidth="1"/>
    <col min="4098" max="4098" width="23.625" style="613" customWidth="1"/>
    <col min="4099" max="4099" width="33.125" style="613" customWidth="1"/>
    <col min="4100" max="4100" width="23.625" style="613" customWidth="1"/>
    <col min="4101" max="4352" width="9.125" style="613"/>
    <col min="4353" max="4353" width="34.5" style="613" customWidth="1"/>
    <col min="4354" max="4354" width="23.625" style="613" customWidth="1"/>
    <col min="4355" max="4355" width="33.125" style="613" customWidth="1"/>
    <col min="4356" max="4356" width="23.625" style="613" customWidth="1"/>
    <col min="4357" max="4608" width="9.125" style="613"/>
    <col min="4609" max="4609" width="34.5" style="613" customWidth="1"/>
    <col min="4610" max="4610" width="23.625" style="613" customWidth="1"/>
    <col min="4611" max="4611" width="33.125" style="613" customWidth="1"/>
    <col min="4612" max="4612" width="23.625" style="613" customWidth="1"/>
    <col min="4613" max="4864" width="9.125" style="613"/>
    <col min="4865" max="4865" width="34.5" style="613" customWidth="1"/>
    <col min="4866" max="4866" width="23.625" style="613" customWidth="1"/>
    <col min="4867" max="4867" width="33.125" style="613" customWidth="1"/>
    <col min="4868" max="4868" width="23.625" style="613" customWidth="1"/>
    <col min="4869" max="5120" width="9.125" style="613"/>
    <col min="5121" max="5121" width="34.5" style="613" customWidth="1"/>
    <col min="5122" max="5122" width="23.625" style="613" customWidth="1"/>
    <col min="5123" max="5123" width="33.125" style="613" customWidth="1"/>
    <col min="5124" max="5124" width="23.625" style="613" customWidth="1"/>
    <col min="5125" max="5376" width="9.125" style="613"/>
    <col min="5377" max="5377" width="34.5" style="613" customWidth="1"/>
    <col min="5378" max="5378" width="23.625" style="613" customWidth="1"/>
    <col min="5379" max="5379" width="33.125" style="613" customWidth="1"/>
    <col min="5380" max="5380" width="23.625" style="613" customWidth="1"/>
    <col min="5381" max="5632" width="9.125" style="613"/>
    <col min="5633" max="5633" width="34.5" style="613" customWidth="1"/>
    <col min="5634" max="5634" width="23.625" style="613" customWidth="1"/>
    <col min="5635" max="5635" width="33.125" style="613" customWidth="1"/>
    <col min="5636" max="5636" width="23.625" style="613" customWidth="1"/>
    <col min="5637" max="5888" width="9.125" style="613"/>
    <col min="5889" max="5889" width="34.5" style="613" customWidth="1"/>
    <col min="5890" max="5890" width="23.625" style="613" customWidth="1"/>
    <col min="5891" max="5891" width="33.125" style="613" customWidth="1"/>
    <col min="5892" max="5892" width="23.625" style="613" customWidth="1"/>
    <col min="5893" max="6144" width="9.125" style="613"/>
    <col min="6145" max="6145" width="34.5" style="613" customWidth="1"/>
    <col min="6146" max="6146" width="23.625" style="613" customWidth="1"/>
    <col min="6147" max="6147" width="33.125" style="613" customWidth="1"/>
    <col min="6148" max="6148" width="23.625" style="613" customWidth="1"/>
    <col min="6149" max="6400" width="9.125" style="613"/>
    <col min="6401" max="6401" width="34.5" style="613" customWidth="1"/>
    <col min="6402" max="6402" width="23.625" style="613" customWidth="1"/>
    <col min="6403" max="6403" width="33.125" style="613" customWidth="1"/>
    <col min="6404" max="6404" width="23.625" style="613" customWidth="1"/>
    <col min="6405" max="6656" width="9.125" style="613"/>
    <col min="6657" max="6657" width="34.5" style="613" customWidth="1"/>
    <col min="6658" max="6658" width="23.625" style="613" customWidth="1"/>
    <col min="6659" max="6659" width="33.125" style="613" customWidth="1"/>
    <col min="6660" max="6660" width="23.625" style="613" customWidth="1"/>
    <col min="6661" max="6912" width="9.125" style="613"/>
    <col min="6913" max="6913" width="34.5" style="613" customWidth="1"/>
    <col min="6914" max="6914" width="23.625" style="613" customWidth="1"/>
    <col min="6915" max="6915" width="33.125" style="613" customWidth="1"/>
    <col min="6916" max="6916" width="23.625" style="613" customWidth="1"/>
    <col min="6917" max="7168" width="9.125" style="613"/>
    <col min="7169" max="7169" width="34.5" style="613" customWidth="1"/>
    <col min="7170" max="7170" width="23.625" style="613" customWidth="1"/>
    <col min="7171" max="7171" width="33.125" style="613" customWidth="1"/>
    <col min="7172" max="7172" width="23.625" style="613" customWidth="1"/>
    <col min="7173" max="7424" width="9.125" style="613"/>
    <col min="7425" max="7425" width="34.5" style="613" customWidth="1"/>
    <col min="7426" max="7426" width="23.625" style="613" customWidth="1"/>
    <col min="7427" max="7427" width="33.125" style="613" customWidth="1"/>
    <col min="7428" max="7428" width="23.625" style="613" customWidth="1"/>
    <col min="7429" max="7680" width="9.125" style="613"/>
    <col min="7681" max="7681" width="34.5" style="613" customWidth="1"/>
    <col min="7682" max="7682" width="23.625" style="613" customWidth="1"/>
    <col min="7683" max="7683" width="33.125" style="613" customWidth="1"/>
    <col min="7684" max="7684" width="23.625" style="613" customWidth="1"/>
    <col min="7685" max="7936" width="9.125" style="613"/>
    <col min="7937" max="7937" width="34.5" style="613" customWidth="1"/>
    <col min="7938" max="7938" width="23.625" style="613" customWidth="1"/>
    <col min="7939" max="7939" width="33.125" style="613" customWidth="1"/>
    <col min="7940" max="7940" width="23.625" style="613" customWidth="1"/>
    <col min="7941" max="8192" width="9.125" style="613"/>
    <col min="8193" max="8193" width="34.5" style="613" customWidth="1"/>
    <col min="8194" max="8194" width="23.625" style="613" customWidth="1"/>
    <col min="8195" max="8195" width="33.125" style="613" customWidth="1"/>
    <col min="8196" max="8196" width="23.625" style="613" customWidth="1"/>
    <col min="8197" max="8448" width="9.125" style="613"/>
    <col min="8449" max="8449" width="34.5" style="613" customWidth="1"/>
    <col min="8450" max="8450" width="23.625" style="613" customWidth="1"/>
    <col min="8451" max="8451" width="33.125" style="613" customWidth="1"/>
    <col min="8452" max="8452" width="23.625" style="613" customWidth="1"/>
    <col min="8453" max="8704" width="9.125" style="613"/>
    <col min="8705" max="8705" width="34.5" style="613" customWidth="1"/>
    <col min="8706" max="8706" width="23.625" style="613" customWidth="1"/>
    <col min="8707" max="8707" width="33.125" style="613" customWidth="1"/>
    <col min="8708" max="8708" width="23.625" style="613" customWidth="1"/>
    <col min="8709" max="8960" width="9.125" style="613"/>
    <col min="8961" max="8961" width="34.5" style="613" customWidth="1"/>
    <col min="8962" max="8962" width="23.625" style="613" customWidth="1"/>
    <col min="8963" max="8963" width="33.125" style="613" customWidth="1"/>
    <col min="8964" max="8964" width="23.625" style="613" customWidth="1"/>
    <col min="8965" max="9216" width="9.125" style="613"/>
    <col min="9217" max="9217" width="34.5" style="613" customWidth="1"/>
    <col min="9218" max="9218" width="23.625" style="613" customWidth="1"/>
    <col min="9219" max="9219" width="33.125" style="613" customWidth="1"/>
    <col min="9220" max="9220" width="23.625" style="613" customWidth="1"/>
    <col min="9221" max="9472" width="9.125" style="613"/>
    <col min="9473" max="9473" width="34.5" style="613" customWidth="1"/>
    <col min="9474" max="9474" width="23.625" style="613" customWidth="1"/>
    <col min="9475" max="9475" width="33.125" style="613" customWidth="1"/>
    <col min="9476" max="9476" width="23.625" style="613" customWidth="1"/>
    <col min="9477" max="9728" width="9.125" style="613"/>
    <col min="9729" max="9729" width="34.5" style="613" customWidth="1"/>
    <col min="9730" max="9730" width="23.625" style="613" customWidth="1"/>
    <col min="9731" max="9731" width="33.125" style="613" customWidth="1"/>
    <col min="9732" max="9732" width="23.625" style="613" customWidth="1"/>
    <col min="9733" max="9984" width="9.125" style="613"/>
    <col min="9985" max="9985" width="34.5" style="613" customWidth="1"/>
    <col min="9986" max="9986" width="23.625" style="613" customWidth="1"/>
    <col min="9987" max="9987" width="33.125" style="613" customWidth="1"/>
    <col min="9988" max="9988" width="23.625" style="613" customWidth="1"/>
    <col min="9989" max="10240" width="9.125" style="613"/>
    <col min="10241" max="10241" width="34.5" style="613" customWidth="1"/>
    <col min="10242" max="10242" width="23.625" style="613" customWidth="1"/>
    <col min="10243" max="10243" width="33.125" style="613" customWidth="1"/>
    <col min="10244" max="10244" width="23.625" style="613" customWidth="1"/>
    <col min="10245" max="10496" width="9.125" style="613"/>
    <col min="10497" max="10497" width="34.5" style="613" customWidth="1"/>
    <col min="10498" max="10498" width="23.625" style="613" customWidth="1"/>
    <col min="10499" max="10499" width="33.125" style="613" customWidth="1"/>
    <col min="10500" max="10500" width="23.625" style="613" customWidth="1"/>
    <col min="10501" max="10752" width="9.125" style="613"/>
    <col min="10753" max="10753" width="34.5" style="613" customWidth="1"/>
    <col min="10754" max="10754" width="23.625" style="613" customWidth="1"/>
    <col min="10755" max="10755" width="33.125" style="613" customWidth="1"/>
    <col min="10756" max="10756" width="23.625" style="613" customWidth="1"/>
    <col min="10757" max="11008" width="9.125" style="613"/>
    <col min="11009" max="11009" width="34.5" style="613" customWidth="1"/>
    <col min="11010" max="11010" width="23.625" style="613" customWidth="1"/>
    <col min="11011" max="11011" width="33.125" style="613" customWidth="1"/>
    <col min="11012" max="11012" width="23.625" style="613" customWidth="1"/>
    <col min="11013" max="11264" width="9.125" style="613"/>
    <col min="11265" max="11265" width="34.5" style="613" customWidth="1"/>
    <col min="11266" max="11266" width="23.625" style="613" customWidth="1"/>
    <col min="11267" max="11267" width="33.125" style="613" customWidth="1"/>
    <col min="11268" max="11268" width="23.625" style="613" customWidth="1"/>
    <col min="11269" max="11520" width="9.125" style="613"/>
    <col min="11521" max="11521" width="34.5" style="613" customWidth="1"/>
    <col min="11522" max="11522" width="23.625" style="613" customWidth="1"/>
    <col min="11523" max="11523" width="33.125" style="613" customWidth="1"/>
    <col min="11524" max="11524" width="23.625" style="613" customWidth="1"/>
    <col min="11525" max="11776" width="9.125" style="613"/>
    <col min="11777" max="11777" width="34.5" style="613" customWidth="1"/>
    <col min="11778" max="11778" width="23.625" style="613" customWidth="1"/>
    <col min="11779" max="11779" width="33.125" style="613" customWidth="1"/>
    <col min="11780" max="11780" width="23.625" style="613" customWidth="1"/>
    <col min="11781" max="12032" width="9.125" style="613"/>
    <col min="12033" max="12033" width="34.5" style="613" customWidth="1"/>
    <col min="12034" max="12034" width="23.625" style="613" customWidth="1"/>
    <col min="12035" max="12035" width="33.125" style="613" customWidth="1"/>
    <col min="12036" max="12036" width="23.625" style="613" customWidth="1"/>
    <col min="12037" max="12288" width="9.125" style="613"/>
    <col min="12289" max="12289" width="34.5" style="613" customWidth="1"/>
    <col min="12290" max="12290" width="23.625" style="613" customWidth="1"/>
    <col min="12291" max="12291" width="33.125" style="613" customWidth="1"/>
    <col min="12292" max="12292" width="23.625" style="613" customWidth="1"/>
    <col min="12293" max="12544" width="9.125" style="613"/>
    <col min="12545" max="12545" width="34.5" style="613" customWidth="1"/>
    <col min="12546" max="12546" width="23.625" style="613" customWidth="1"/>
    <col min="12547" max="12547" width="33.125" style="613" customWidth="1"/>
    <col min="12548" max="12548" width="23.625" style="613" customWidth="1"/>
    <col min="12549" max="12800" width="9.125" style="613"/>
    <col min="12801" max="12801" width="34.5" style="613" customWidth="1"/>
    <col min="12802" max="12802" width="23.625" style="613" customWidth="1"/>
    <col min="12803" max="12803" width="33.125" style="613" customWidth="1"/>
    <col min="12804" max="12804" width="23.625" style="613" customWidth="1"/>
    <col min="12805" max="13056" width="9.125" style="613"/>
    <col min="13057" max="13057" width="34.5" style="613" customWidth="1"/>
    <col min="13058" max="13058" width="23.625" style="613" customWidth="1"/>
    <col min="13059" max="13059" width="33.125" style="613" customWidth="1"/>
    <col min="13060" max="13060" width="23.625" style="613" customWidth="1"/>
    <col min="13061" max="13312" width="9.125" style="613"/>
    <col min="13313" max="13313" width="34.5" style="613" customWidth="1"/>
    <col min="13314" max="13314" width="23.625" style="613" customWidth="1"/>
    <col min="13315" max="13315" width="33.125" style="613" customWidth="1"/>
    <col min="13316" max="13316" width="23.625" style="613" customWidth="1"/>
    <col min="13317" max="13568" width="9.125" style="613"/>
    <col min="13569" max="13569" width="34.5" style="613" customWidth="1"/>
    <col min="13570" max="13570" width="23.625" style="613" customWidth="1"/>
    <col min="13571" max="13571" width="33.125" style="613" customWidth="1"/>
    <col min="13572" max="13572" width="23.625" style="613" customWidth="1"/>
    <col min="13573" max="13824" width="9.125" style="613"/>
    <col min="13825" max="13825" width="34.5" style="613" customWidth="1"/>
    <col min="13826" max="13826" width="23.625" style="613" customWidth="1"/>
    <col min="13827" max="13827" width="33.125" style="613" customWidth="1"/>
    <col min="13828" max="13828" width="23.625" style="613" customWidth="1"/>
    <col min="13829" max="14080" width="9.125" style="613"/>
    <col min="14081" max="14081" width="34.5" style="613" customWidth="1"/>
    <col min="14082" max="14082" width="23.625" style="613" customWidth="1"/>
    <col min="14083" max="14083" width="33.125" style="613" customWidth="1"/>
    <col min="14084" max="14084" width="23.625" style="613" customWidth="1"/>
    <col min="14085" max="14336" width="9.125" style="613"/>
    <col min="14337" max="14337" width="34.5" style="613" customWidth="1"/>
    <col min="14338" max="14338" width="23.625" style="613" customWidth="1"/>
    <col min="14339" max="14339" width="33.125" style="613" customWidth="1"/>
    <col min="14340" max="14340" width="23.625" style="613" customWidth="1"/>
    <col min="14341" max="14592" width="9.125" style="613"/>
    <col min="14593" max="14593" width="34.5" style="613" customWidth="1"/>
    <col min="14594" max="14594" width="23.625" style="613" customWidth="1"/>
    <col min="14595" max="14595" width="33.125" style="613" customWidth="1"/>
    <col min="14596" max="14596" width="23.625" style="613" customWidth="1"/>
    <col min="14597" max="14848" width="9.125" style="613"/>
    <col min="14849" max="14849" width="34.5" style="613" customWidth="1"/>
    <col min="14850" max="14850" width="23.625" style="613" customWidth="1"/>
    <col min="14851" max="14851" width="33.125" style="613" customWidth="1"/>
    <col min="14852" max="14852" width="23.625" style="613" customWidth="1"/>
    <col min="14853" max="15104" width="9.125" style="613"/>
    <col min="15105" max="15105" width="34.5" style="613" customWidth="1"/>
    <col min="15106" max="15106" width="23.625" style="613" customWidth="1"/>
    <col min="15107" max="15107" width="33.125" style="613" customWidth="1"/>
    <col min="15108" max="15108" width="23.625" style="613" customWidth="1"/>
    <col min="15109" max="15360" width="9.125" style="613"/>
    <col min="15361" max="15361" width="34.5" style="613" customWidth="1"/>
    <col min="15362" max="15362" width="23.625" style="613" customWidth="1"/>
    <col min="15363" max="15363" width="33.125" style="613" customWidth="1"/>
    <col min="15364" max="15364" width="23.625" style="613" customWidth="1"/>
    <col min="15365" max="15616" width="9.125" style="613"/>
    <col min="15617" max="15617" width="34.5" style="613" customWidth="1"/>
    <col min="15618" max="15618" width="23.625" style="613" customWidth="1"/>
    <col min="15619" max="15619" width="33.125" style="613" customWidth="1"/>
    <col min="15620" max="15620" width="23.625" style="613" customWidth="1"/>
    <col min="15621" max="15872" width="9.125" style="613"/>
    <col min="15873" max="15873" width="34.5" style="613" customWidth="1"/>
    <col min="15874" max="15874" width="23.625" style="613" customWidth="1"/>
    <col min="15875" max="15875" width="33.125" style="613" customWidth="1"/>
    <col min="15876" max="15876" width="23.625" style="613" customWidth="1"/>
    <col min="15877" max="16128" width="9.125" style="613"/>
    <col min="16129" max="16129" width="34.5" style="613" customWidth="1"/>
    <col min="16130" max="16130" width="23.625" style="613" customWidth="1"/>
    <col min="16131" max="16131" width="33.125" style="613" customWidth="1"/>
    <col min="16132" max="16132" width="23.625" style="613" customWidth="1"/>
    <col min="16133" max="16384" width="9.125" style="613"/>
  </cols>
  <sheetData>
    <row r="1" spans="1:4" s="612" customFormat="1" ht="22.5">
      <c r="A1" s="706" t="s">
        <v>2151</v>
      </c>
      <c r="B1" s="706"/>
      <c r="C1" s="706"/>
      <c r="D1" s="706"/>
    </row>
    <row r="2" spans="1:4" s="612" customFormat="1" ht="16.899999999999999" customHeight="1">
      <c r="A2" s="707" t="s">
        <v>2054</v>
      </c>
      <c r="B2" s="707"/>
      <c r="C2" s="707"/>
      <c r="D2" s="707"/>
    </row>
    <row r="3" spans="1:4" s="628" customFormat="1" ht="21.75" customHeight="1">
      <c r="A3" s="629" t="s">
        <v>2055</v>
      </c>
      <c r="B3" s="629" t="s">
        <v>1050</v>
      </c>
      <c r="C3" s="629" t="s">
        <v>2055</v>
      </c>
      <c r="D3" s="629" t="s">
        <v>1050</v>
      </c>
    </row>
    <row r="4" spans="1:4" s="612" customFormat="1" ht="17.649999999999999" customHeight="1">
      <c r="A4" s="604" t="s">
        <v>2070</v>
      </c>
      <c r="B4" s="605">
        <v>476654</v>
      </c>
      <c r="C4" s="614" t="s">
        <v>114</v>
      </c>
      <c r="D4" s="605">
        <v>0</v>
      </c>
    </row>
    <row r="5" spans="1:4" s="612" customFormat="1" ht="17.649999999999999" customHeight="1">
      <c r="A5" s="604" t="s">
        <v>2071</v>
      </c>
      <c r="B5" s="605">
        <v>476654</v>
      </c>
      <c r="C5" s="614" t="s">
        <v>2072</v>
      </c>
      <c r="D5" s="605">
        <v>0</v>
      </c>
    </row>
    <row r="6" spans="1:4" s="612" customFormat="1" ht="17.649999999999999" customHeight="1">
      <c r="A6" s="615" t="s">
        <v>2073</v>
      </c>
      <c r="B6" s="605">
        <v>182640</v>
      </c>
      <c r="C6" s="614" t="s">
        <v>2074</v>
      </c>
      <c r="D6" s="605">
        <v>0</v>
      </c>
    </row>
    <row r="7" spans="1:4" s="612" customFormat="1" ht="17.649999999999999" customHeight="1">
      <c r="A7" s="615" t="s">
        <v>2075</v>
      </c>
      <c r="B7" s="605">
        <v>0</v>
      </c>
      <c r="C7" s="614" t="s">
        <v>2076</v>
      </c>
      <c r="D7" s="605">
        <v>0</v>
      </c>
    </row>
    <row r="8" spans="1:4" s="612" customFormat="1" ht="17.649999999999999" customHeight="1">
      <c r="A8" s="615" t="s">
        <v>2077</v>
      </c>
      <c r="B8" s="605">
        <v>0</v>
      </c>
      <c r="C8" s="616" t="s">
        <v>2078</v>
      </c>
      <c r="D8" s="605">
        <v>0</v>
      </c>
    </row>
    <row r="9" spans="1:4" s="612" customFormat="1" ht="17.649999999999999" customHeight="1">
      <c r="A9" s="615" t="s">
        <v>2079</v>
      </c>
      <c r="B9" s="605">
        <v>0</v>
      </c>
      <c r="C9" s="614" t="s">
        <v>2080</v>
      </c>
      <c r="D9" s="602">
        <v>0</v>
      </c>
    </row>
    <row r="10" spans="1:4" s="612" customFormat="1" ht="17.649999999999999" customHeight="1">
      <c r="A10" s="615" t="s">
        <v>2081</v>
      </c>
      <c r="B10" s="605">
        <v>0</v>
      </c>
      <c r="C10" s="617" t="s">
        <v>2082</v>
      </c>
      <c r="D10" s="605">
        <v>0</v>
      </c>
    </row>
    <row r="11" spans="1:4" s="612" customFormat="1" ht="17.649999999999999" customHeight="1">
      <c r="A11" s="615" t="s">
        <v>2083</v>
      </c>
      <c r="B11" s="605">
        <v>0</v>
      </c>
      <c r="C11" s="617" t="s">
        <v>2084</v>
      </c>
      <c r="D11" s="605">
        <v>0</v>
      </c>
    </row>
    <row r="12" spans="1:4" s="612" customFormat="1" ht="17.649999999999999" customHeight="1">
      <c r="A12" s="615" t="s">
        <v>2085</v>
      </c>
      <c r="B12" s="605">
        <v>0</v>
      </c>
      <c r="C12" s="617" t="s">
        <v>2086</v>
      </c>
      <c r="D12" s="605">
        <v>0</v>
      </c>
    </row>
    <row r="13" spans="1:4" s="612" customFormat="1" ht="17.649999999999999" customHeight="1">
      <c r="A13" s="615" t="s">
        <v>2087</v>
      </c>
      <c r="B13" s="605">
        <v>0</v>
      </c>
      <c r="C13" s="617" t="s">
        <v>2088</v>
      </c>
      <c r="D13" s="605">
        <v>0</v>
      </c>
    </row>
    <row r="14" spans="1:4" s="612" customFormat="1" ht="17.649999999999999" customHeight="1">
      <c r="A14" s="615" t="s">
        <v>2089</v>
      </c>
      <c r="B14" s="605">
        <v>0</v>
      </c>
      <c r="C14" s="614" t="s">
        <v>2090</v>
      </c>
      <c r="D14" s="605">
        <v>0</v>
      </c>
    </row>
    <row r="15" spans="1:4" s="612" customFormat="1" ht="17.649999999999999" customHeight="1">
      <c r="A15" s="615" t="s">
        <v>2091</v>
      </c>
      <c r="B15" s="605">
        <v>0</v>
      </c>
      <c r="C15" s="614" t="s">
        <v>166</v>
      </c>
      <c r="D15" s="605">
        <v>1980</v>
      </c>
    </row>
    <row r="16" spans="1:4" s="612" customFormat="1" ht="17.649999999999999" customHeight="1">
      <c r="A16" s="615" t="s">
        <v>2092</v>
      </c>
      <c r="B16" s="605">
        <v>0</v>
      </c>
      <c r="C16" s="614" t="s">
        <v>2072</v>
      </c>
      <c r="D16" s="605">
        <v>1980</v>
      </c>
    </row>
    <row r="17" spans="1:4" s="612" customFormat="1" ht="17.649999999999999" customHeight="1">
      <c r="A17" s="615" t="s">
        <v>2093</v>
      </c>
      <c r="B17" s="605">
        <v>0</v>
      </c>
      <c r="C17" s="614" t="s">
        <v>2074</v>
      </c>
      <c r="D17" s="605">
        <v>0</v>
      </c>
    </row>
    <row r="18" spans="1:4" s="612" customFormat="1" ht="17.649999999999999" customHeight="1">
      <c r="A18" s="615" t="s">
        <v>2094</v>
      </c>
      <c r="B18" s="605">
        <v>0</v>
      </c>
      <c r="C18" s="614" t="s">
        <v>2076</v>
      </c>
      <c r="D18" s="605">
        <v>0</v>
      </c>
    </row>
    <row r="19" spans="1:4" s="612" customFormat="1" ht="17.649999999999999" customHeight="1">
      <c r="A19" s="615" t="s">
        <v>2095</v>
      </c>
      <c r="B19" s="605">
        <v>32811</v>
      </c>
      <c r="C19" s="614" t="s">
        <v>2078</v>
      </c>
      <c r="D19" s="605">
        <v>1980</v>
      </c>
    </row>
    <row r="20" spans="1:4" s="612" customFormat="1" ht="17.649999999999999" customHeight="1">
      <c r="A20" s="615" t="s">
        <v>2096</v>
      </c>
      <c r="B20" s="605">
        <v>0</v>
      </c>
      <c r="C20" s="614" t="s">
        <v>2080</v>
      </c>
      <c r="D20" s="605">
        <v>0</v>
      </c>
    </row>
    <row r="21" spans="1:4" s="612" customFormat="1" ht="17.649999999999999" customHeight="1">
      <c r="A21" s="615" t="s">
        <v>2097</v>
      </c>
      <c r="B21" s="605">
        <v>0</v>
      </c>
      <c r="C21" s="614" t="s">
        <v>2082</v>
      </c>
      <c r="D21" s="605">
        <v>0</v>
      </c>
    </row>
    <row r="22" spans="1:4" s="612" customFormat="1" ht="17.649999999999999" customHeight="1">
      <c r="A22" s="615" t="s">
        <v>2098</v>
      </c>
      <c r="B22" s="605">
        <v>0</v>
      </c>
      <c r="C22" s="614" t="s">
        <v>2084</v>
      </c>
      <c r="D22" s="605">
        <v>0</v>
      </c>
    </row>
    <row r="23" spans="1:4" s="612" customFormat="1" ht="17.649999999999999" customHeight="1">
      <c r="A23" s="615" t="s">
        <v>2099</v>
      </c>
      <c r="B23" s="605">
        <v>0</v>
      </c>
      <c r="C23" s="614" t="s">
        <v>2086</v>
      </c>
      <c r="D23" s="605">
        <v>0</v>
      </c>
    </row>
    <row r="24" spans="1:4" s="612" customFormat="1" ht="17.649999999999999" customHeight="1">
      <c r="A24" s="615" t="s">
        <v>2100</v>
      </c>
      <c r="B24" s="605">
        <v>0</v>
      </c>
      <c r="C24" s="614" t="s">
        <v>2088</v>
      </c>
      <c r="D24" s="605">
        <v>0</v>
      </c>
    </row>
    <row r="25" spans="1:4" s="612" customFormat="1" ht="17.649999999999999" customHeight="1">
      <c r="A25" s="615" t="s">
        <v>2101</v>
      </c>
      <c r="B25" s="605">
        <v>0</v>
      </c>
      <c r="C25" s="614" t="s">
        <v>2090</v>
      </c>
      <c r="D25" s="605">
        <v>0</v>
      </c>
    </row>
    <row r="26" spans="1:4" s="612" customFormat="1" ht="17.649999999999999" customHeight="1">
      <c r="A26" s="615" t="s">
        <v>2102</v>
      </c>
      <c r="B26" s="605">
        <v>0</v>
      </c>
      <c r="C26" s="614" t="s">
        <v>214</v>
      </c>
      <c r="D26" s="605">
        <v>97</v>
      </c>
    </row>
    <row r="27" spans="1:4" s="612" customFormat="1" ht="17.649999999999999" customHeight="1">
      <c r="A27" s="615" t="s">
        <v>2103</v>
      </c>
      <c r="B27" s="605">
        <v>0</v>
      </c>
      <c r="C27" s="614" t="s">
        <v>2072</v>
      </c>
      <c r="D27" s="605">
        <v>97</v>
      </c>
    </row>
    <row r="28" spans="1:4" s="612" customFormat="1" ht="17.649999999999999" customHeight="1">
      <c r="A28" s="615" t="s">
        <v>2104</v>
      </c>
      <c r="B28" s="605">
        <v>0</v>
      </c>
      <c r="C28" s="614" t="s">
        <v>2074</v>
      </c>
      <c r="D28" s="605">
        <v>0</v>
      </c>
    </row>
    <row r="29" spans="1:4" s="612" customFormat="1" ht="17.649999999999999" customHeight="1">
      <c r="A29" s="615" t="s">
        <v>2105</v>
      </c>
      <c r="B29" s="605">
        <v>0</v>
      </c>
      <c r="C29" s="614" t="s">
        <v>2076</v>
      </c>
      <c r="D29" s="605">
        <v>0</v>
      </c>
    </row>
    <row r="30" spans="1:4" s="612" customFormat="1" ht="17.649999999999999" customHeight="1">
      <c r="A30" s="615" t="s">
        <v>2106</v>
      </c>
      <c r="B30" s="605">
        <v>0</v>
      </c>
      <c r="C30" s="614" t="s">
        <v>2078</v>
      </c>
      <c r="D30" s="605">
        <v>0</v>
      </c>
    </row>
    <row r="31" spans="1:4" s="612" customFormat="1" ht="17.649999999999999" customHeight="1">
      <c r="A31" s="615" t="s">
        <v>2107</v>
      </c>
      <c r="B31" s="605">
        <v>0</v>
      </c>
      <c r="C31" s="614" t="s">
        <v>2080</v>
      </c>
      <c r="D31" s="605">
        <v>0</v>
      </c>
    </row>
    <row r="32" spans="1:4" s="612" customFormat="1" ht="17.649999999999999" customHeight="1">
      <c r="A32" s="615" t="s">
        <v>2108</v>
      </c>
      <c r="B32" s="605">
        <v>0</v>
      </c>
      <c r="C32" s="614" t="s">
        <v>2082</v>
      </c>
      <c r="D32" s="605">
        <v>0</v>
      </c>
    </row>
    <row r="33" spans="1:4" s="612" customFormat="1" ht="17.649999999999999" customHeight="1">
      <c r="A33" s="615" t="s">
        <v>2109</v>
      </c>
      <c r="B33" s="605">
        <v>0</v>
      </c>
      <c r="C33" s="614" t="s">
        <v>2084</v>
      </c>
      <c r="D33" s="605">
        <v>0</v>
      </c>
    </row>
    <row r="34" spans="1:4" s="612" customFormat="1" ht="17.649999999999999" customHeight="1">
      <c r="A34" s="615" t="s">
        <v>2110</v>
      </c>
      <c r="B34" s="605">
        <v>0</v>
      </c>
      <c r="C34" s="614" t="s">
        <v>2086</v>
      </c>
      <c r="D34" s="605">
        <v>0</v>
      </c>
    </row>
    <row r="35" spans="1:4" s="612" customFormat="1" ht="17.649999999999999" customHeight="1">
      <c r="A35" s="615" t="s">
        <v>2111</v>
      </c>
      <c r="B35" s="605">
        <v>0</v>
      </c>
      <c r="C35" s="614" t="s">
        <v>2088</v>
      </c>
      <c r="D35" s="605">
        <v>0</v>
      </c>
    </row>
    <row r="36" spans="1:4" s="612" customFormat="1" ht="17.649999999999999" customHeight="1">
      <c r="A36" s="615" t="s">
        <v>2112</v>
      </c>
      <c r="B36" s="605">
        <v>149829</v>
      </c>
      <c r="C36" s="614" t="s">
        <v>2090</v>
      </c>
      <c r="D36" s="605">
        <v>97</v>
      </c>
    </row>
    <row r="37" spans="1:4" s="612" customFormat="1" ht="17.649999999999999" customHeight="1">
      <c r="A37" s="615" t="s">
        <v>2113</v>
      </c>
      <c r="B37" s="605">
        <v>247830</v>
      </c>
      <c r="C37" s="614" t="s">
        <v>255</v>
      </c>
      <c r="D37" s="605">
        <v>0</v>
      </c>
    </row>
    <row r="38" spans="1:4" s="612" customFormat="1" ht="17.649999999999999" customHeight="1">
      <c r="A38" s="615" t="s">
        <v>2114</v>
      </c>
      <c r="B38" s="605">
        <v>120444</v>
      </c>
      <c r="C38" s="616" t="s">
        <v>282</v>
      </c>
      <c r="D38" s="605">
        <v>0</v>
      </c>
    </row>
    <row r="39" spans="1:4" s="612" customFormat="1" ht="17.649999999999999" customHeight="1">
      <c r="A39" s="615" t="s">
        <v>2115</v>
      </c>
      <c r="B39" s="605">
        <v>127386</v>
      </c>
      <c r="C39" s="614" t="s">
        <v>2116</v>
      </c>
      <c r="D39" s="606">
        <v>0</v>
      </c>
    </row>
    <row r="40" spans="1:4" s="612" customFormat="1" ht="17.649999999999999" customHeight="1">
      <c r="A40" s="615" t="s">
        <v>2117</v>
      </c>
      <c r="B40" s="605">
        <v>0</v>
      </c>
      <c r="C40" s="614" t="s">
        <v>419</v>
      </c>
      <c r="D40" s="605">
        <v>0</v>
      </c>
    </row>
    <row r="41" spans="1:4" s="612" customFormat="1" ht="17.649999999999999" customHeight="1">
      <c r="A41" s="615" t="s">
        <v>2118</v>
      </c>
      <c r="B41" s="605">
        <v>0</v>
      </c>
      <c r="C41" s="614" t="s">
        <v>2072</v>
      </c>
      <c r="D41" s="605">
        <v>0</v>
      </c>
    </row>
    <row r="42" spans="1:4" s="612" customFormat="1" ht="17.649999999999999" customHeight="1">
      <c r="A42" s="615" t="s">
        <v>2119</v>
      </c>
      <c r="B42" s="605">
        <v>0</v>
      </c>
      <c r="C42" s="616" t="s">
        <v>2074</v>
      </c>
      <c r="D42" s="605">
        <v>0</v>
      </c>
    </row>
    <row r="43" spans="1:4" s="612" customFormat="1" ht="17.649999999999999" customHeight="1">
      <c r="A43" s="615" t="s">
        <v>2120</v>
      </c>
      <c r="B43" s="605">
        <v>0</v>
      </c>
      <c r="C43" s="614" t="s">
        <v>2076</v>
      </c>
      <c r="D43" s="606">
        <v>0</v>
      </c>
    </row>
    <row r="44" spans="1:4" s="612" customFormat="1" ht="17.649999999999999" customHeight="1">
      <c r="A44" s="615" t="s">
        <v>2121</v>
      </c>
      <c r="B44" s="605">
        <v>0</v>
      </c>
      <c r="C44" s="616" t="s">
        <v>2078</v>
      </c>
      <c r="D44" s="605">
        <v>0</v>
      </c>
    </row>
    <row r="45" spans="1:4" s="612" customFormat="1" ht="17.649999999999999" customHeight="1">
      <c r="A45" s="615" t="s">
        <v>2122</v>
      </c>
      <c r="B45" s="605">
        <v>0</v>
      </c>
      <c r="C45" s="614" t="s">
        <v>2080</v>
      </c>
      <c r="D45" s="608">
        <v>0</v>
      </c>
    </row>
    <row r="46" spans="1:4" s="612" customFormat="1" ht="17.649999999999999" customHeight="1">
      <c r="A46" s="615" t="s">
        <v>2123</v>
      </c>
      <c r="B46" s="605">
        <v>0</v>
      </c>
      <c r="C46" s="617" t="s">
        <v>2082</v>
      </c>
      <c r="D46" s="606">
        <v>0</v>
      </c>
    </row>
    <row r="47" spans="1:4" s="612" customFormat="1" ht="17.649999999999999" customHeight="1">
      <c r="A47" s="615" t="s">
        <v>2124</v>
      </c>
      <c r="B47" s="605">
        <v>0</v>
      </c>
      <c r="C47" s="617" t="s">
        <v>2084</v>
      </c>
      <c r="D47" s="605">
        <v>0</v>
      </c>
    </row>
    <row r="48" spans="1:4" s="612" customFormat="1" ht="17.649999999999999" customHeight="1">
      <c r="A48" s="615" t="s">
        <v>2125</v>
      </c>
      <c r="B48" s="605">
        <v>0</v>
      </c>
      <c r="C48" s="617" t="s">
        <v>2086</v>
      </c>
      <c r="D48" s="607">
        <v>0</v>
      </c>
    </row>
    <row r="49" spans="1:4" s="612" customFormat="1" ht="17.649999999999999" customHeight="1">
      <c r="A49" s="615" t="s">
        <v>2126</v>
      </c>
      <c r="B49" s="605">
        <v>0</v>
      </c>
      <c r="C49" s="617" t="s">
        <v>2088</v>
      </c>
      <c r="D49" s="607">
        <v>0</v>
      </c>
    </row>
    <row r="50" spans="1:4" s="612" customFormat="1" ht="17.649999999999999" customHeight="1">
      <c r="A50" s="615" t="s">
        <v>2127</v>
      </c>
      <c r="B50" s="605">
        <v>46184</v>
      </c>
      <c r="C50" s="614" t="s">
        <v>2090</v>
      </c>
      <c r="D50" s="607">
        <v>0</v>
      </c>
    </row>
    <row r="51" spans="1:4" s="612" customFormat="1" ht="17.649999999999999" customHeight="1">
      <c r="A51" s="618"/>
      <c r="B51" s="607"/>
      <c r="C51" s="617" t="s">
        <v>491</v>
      </c>
      <c r="D51" s="605">
        <v>80000</v>
      </c>
    </row>
    <row r="52" spans="1:4" s="612" customFormat="1" ht="17.649999999999999" customHeight="1">
      <c r="A52" s="619"/>
      <c r="B52" s="605"/>
      <c r="C52" s="617" t="s">
        <v>2072</v>
      </c>
      <c r="D52" s="607">
        <v>80000</v>
      </c>
    </row>
    <row r="53" spans="1:4" s="612" customFormat="1" ht="17.649999999999999" customHeight="1">
      <c r="A53" s="619"/>
      <c r="B53" s="605"/>
      <c r="C53" s="614" t="s">
        <v>2074</v>
      </c>
      <c r="D53" s="607">
        <v>0</v>
      </c>
    </row>
    <row r="54" spans="1:4" s="612" customFormat="1" ht="17.649999999999999" customHeight="1">
      <c r="A54" s="619"/>
      <c r="B54" s="605"/>
      <c r="C54" s="614" t="s">
        <v>2076</v>
      </c>
      <c r="D54" s="605">
        <v>80000</v>
      </c>
    </row>
    <row r="55" spans="1:4" s="612" customFormat="1" ht="17.649999999999999" customHeight="1">
      <c r="A55" s="619"/>
      <c r="B55" s="605"/>
      <c r="C55" s="616" t="s">
        <v>2078</v>
      </c>
      <c r="D55" s="605">
        <v>0</v>
      </c>
    </row>
    <row r="56" spans="1:4" s="612" customFormat="1" ht="17.649999999999999" customHeight="1">
      <c r="A56" s="619"/>
      <c r="B56" s="605"/>
      <c r="C56" s="616" t="s">
        <v>2080</v>
      </c>
      <c r="D56" s="606">
        <v>0</v>
      </c>
    </row>
    <row r="57" spans="1:4" s="612" customFormat="1" ht="17.649999999999999" customHeight="1">
      <c r="A57" s="620"/>
      <c r="B57" s="605"/>
      <c r="C57" s="616" t="s">
        <v>2082</v>
      </c>
      <c r="D57" s="606">
        <v>0</v>
      </c>
    </row>
    <row r="58" spans="1:4" s="612" customFormat="1" ht="17.649999999999999" customHeight="1">
      <c r="A58" s="619"/>
      <c r="B58" s="605"/>
      <c r="C58" s="614" t="s">
        <v>2084</v>
      </c>
      <c r="D58" s="602">
        <v>0</v>
      </c>
    </row>
    <row r="59" spans="1:4" s="612" customFormat="1" ht="17.649999999999999" customHeight="1">
      <c r="A59" s="618"/>
      <c r="B59" s="605"/>
      <c r="C59" s="617" t="s">
        <v>2086</v>
      </c>
      <c r="D59" s="607">
        <v>0</v>
      </c>
    </row>
    <row r="60" spans="1:4" s="612" customFormat="1" ht="17.649999999999999" customHeight="1">
      <c r="A60" s="619"/>
      <c r="B60" s="605"/>
      <c r="C60" s="614" t="s">
        <v>2088</v>
      </c>
      <c r="D60" s="605">
        <v>0</v>
      </c>
    </row>
    <row r="61" spans="1:4" s="612" customFormat="1" ht="17.649999999999999" customHeight="1">
      <c r="A61" s="620"/>
      <c r="B61" s="605"/>
      <c r="C61" s="614" t="s">
        <v>2090</v>
      </c>
      <c r="D61" s="609">
        <v>0</v>
      </c>
    </row>
    <row r="62" spans="1:4" s="612" customFormat="1" ht="17.649999999999999" customHeight="1">
      <c r="A62" s="619"/>
      <c r="B62" s="605"/>
      <c r="C62" s="617" t="s">
        <v>512</v>
      </c>
      <c r="D62" s="607">
        <v>0</v>
      </c>
    </row>
    <row r="63" spans="1:4" s="612" customFormat="1" ht="17.649999999999999" customHeight="1">
      <c r="A63" s="618"/>
      <c r="B63" s="605"/>
      <c r="C63" s="614" t="s">
        <v>2072</v>
      </c>
      <c r="D63" s="605">
        <v>0</v>
      </c>
    </row>
    <row r="64" spans="1:4" s="612" customFormat="1" ht="17.649999999999999" customHeight="1">
      <c r="A64" s="619"/>
      <c r="B64" s="605"/>
      <c r="C64" s="614" t="s">
        <v>2074</v>
      </c>
      <c r="D64" s="605">
        <v>0</v>
      </c>
    </row>
    <row r="65" spans="1:4" s="612" customFormat="1" ht="17.649999999999999" customHeight="1">
      <c r="A65" s="621"/>
      <c r="B65" s="607"/>
      <c r="C65" s="614" t="s">
        <v>2076</v>
      </c>
      <c r="D65" s="605">
        <v>0</v>
      </c>
    </row>
    <row r="66" spans="1:4" s="612" customFormat="1" ht="17.649999999999999" customHeight="1">
      <c r="A66" s="621"/>
      <c r="B66" s="605"/>
      <c r="C66" s="614" t="s">
        <v>2078</v>
      </c>
      <c r="D66" s="605">
        <v>0</v>
      </c>
    </row>
    <row r="67" spans="1:4" s="612" customFormat="1" ht="17.649999999999999" customHeight="1">
      <c r="A67" s="621"/>
      <c r="B67" s="605"/>
      <c r="C67" s="614" t="s">
        <v>2080</v>
      </c>
      <c r="D67" s="605">
        <v>0</v>
      </c>
    </row>
    <row r="68" spans="1:4" s="612" customFormat="1" ht="17.649999999999999" customHeight="1">
      <c r="A68" s="621"/>
      <c r="B68" s="605"/>
      <c r="C68" s="614" t="s">
        <v>2082</v>
      </c>
      <c r="D68" s="605">
        <v>0</v>
      </c>
    </row>
    <row r="69" spans="1:4" s="612" customFormat="1" ht="17.649999999999999" customHeight="1">
      <c r="A69" s="621"/>
      <c r="B69" s="605"/>
      <c r="C69" s="614" t="s">
        <v>2084</v>
      </c>
      <c r="D69" s="605">
        <v>0</v>
      </c>
    </row>
    <row r="70" spans="1:4" s="612" customFormat="1" ht="17.649999999999999" customHeight="1">
      <c r="A70" s="621"/>
      <c r="B70" s="605"/>
      <c r="C70" s="614" t="s">
        <v>2086</v>
      </c>
      <c r="D70" s="605">
        <v>0</v>
      </c>
    </row>
    <row r="71" spans="1:4" s="612" customFormat="1" ht="17.649999999999999" customHeight="1">
      <c r="A71" s="621"/>
      <c r="B71" s="605"/>
      <c r="C71" s="614" t="s">
        <v>2088</v>
      </c>
      <c r="D71" s="605">
        <v>0</v>
      </c>
    </row>
    <row r="72" spans="1:4" s="612" customFormat="1" ht="17.649999999999999" customHeight="1">
      <c r="A72" s="621"/>
      <c r="B72" s="605"/>
      <c r="C72" s="614" t="s">
        <v>2090</v>
      </c>
      <c r="D72" s="605">
        <v>0</v>
      </c>
    </row>
    <row r="73" spans="1:4" s="612" customFormat="1" ht="17.649999999999999" customHeight="1">
      <c r="A73" s="621"/>
      <c r="B73" s="605"/>
      <c r="C73" s="614" t="s">
        <v>622</v>
      </c>
      <c r="D73" s="605">
        <v>10000</v>
      </c>
    </row>
    <row r="74" spans="1:4" s="612" customFormat="1" ht="17.649999999999999" customHeight="1">
      <c r="A74" s="621"/>
      <c r="B74" s="605"/>
      <c r="C74" s="614" t="s">
        <v>2072</v>
      </c>
      <c r="D74" s="605">
        <v>10000</v>
      </c>
    </row>
    <row r="75" spans="1:4" s="612" customFormat="1" ht="17.649999999999999" customHeight="1">
      <c r="A75" s="621"/>
      <c r="B75" s="605"/>
      <c r="C75" s="614" t="s">
        <v>2074</v>
      </c>
      <c r="D75" s="605">
        <v>0</v>
      </c>
    </row>
    <row r="76" spans="1:4" s="612" customFormat="1" ht="17.649999999999999" customHeight="1">
      <c r="A76" s="621"/>
      <c r="B76" s="605"/>
      <c r="C76" s="616" t="s">
        <v>2076</v>
      </c>
      <c r="D76" s="605">
        <v>10000</v>
      </c>
    </row>
    <row r="77" spans="1:4" s="612" customFormat="1" ht="17.649999999999999" customHeight="1">
      <c r="A77" s="621"/>
      <c r="B77" s="605"/>
      <c r="C77" s="615" t="s">
        <v>2078</v>
      </c>
      <c r="D77" s="606">
        <v>0</v>
      </c>
    </row>
    <row r="78" spans="1:4" s="612" customFormat="1" ht="17.649999999999999" customHeight="1">
      <c r="A78" s="621"/>
      <c r="B78" s="610"/>
      <c r="C78" s="615" t="s">
        <v>2080</v>
      </c>
      <c r="D78" s="605">
        <v>0</v>
      </c>
    </row>
    <row r="79" spans="1:4" s="612" customFormat="1" ht="17.649999999999999" customHeight="1">
      <c r="A79" s="621"/>
      <c r="B79" s="610"/>
      <c r="C79" s="615" t="s">
        <v>2082</v>
      </c>
      <c r="D79" s="605">
        <v>0</v>
      </c>
    </row>
    <row r="80" spans="1:4" s="612" customFormat="1" ht="17.649999999999999" customHeight="1">
      <c r="A80" s="621"/>
      <c r="B80" s="610"/>
      <c r="C80" s="615" t="s">
        <v>2084</v>
      </c>
      <c r="D80" s="605">
        <v>0</v>
      </c>
    </row>
    <row r="81" spans="1:4" s="612" customFormat="1" ht="17.649999999999999" customHeight="1">
      <c r="A81" s="621"/>
      <c r="B81" s="610"/>
      <c r="C81" s="615" t="s">
        <v>2086</v>
      </c>
      <c r="D81" s="605">
        <v>0</v>
      </c>
    </row>
    <row r="82" spans="1:4" s="612" customFormat="1" ht="17.649999999999999" customHeight="1">
      <c r="A82" s="621"/>
      <c r="B82" s="610"/>
      <c r="C82" s="615" t="s">
        <v>2088</v>
      </c>
      <c r="D82" s="605">
        <v>0</v>
      </c>
    </row>
    <row r="83" spans="1:4" s="612" customFormat="1" ht="17.649999999999999" customHeight="1">
      <c r="A83" s="621"/>
      <c r="B83" s="610"/>
      <c r="C83" s="615" t="s">
        <v>2090</v>
      </c>
      <c r="D83" s="605">
        <v>0</v>
      </c>
    </row>
    <row r="84" spans="1:4" s="612" customFormat="1" ht="17.649999999999999" customHeight="1">
      <c r="A84" s="621"/>
      <c r="B84" s="610"/>
      <c r="C84" s="622" t="s">
        <v>681</v>
      </c>
      <c r="D84" s="605">
        <v>0</v>
      </c>
    </row>
    <row r="85" spans="1:4" s="612" customFormat="1" ht="17.649999999999999" customHeight="1">
      <c r="A85" s="623"/>
      <c r="B85" s="624"/>
      <c r="C85" s="615" t="s">
        <v>2072</v>
      </c>
      <c r="D85" s="602">
        <v>0</v>
      </c>
    </row>
    <row r="86" spans="1:4" s="612" customFormat="1" ht="17.649999999999999" customHeight="1">
      <c r="A86" s="623"/>
      <c r="B86" s="607"/>
      <c r="C86" s="617" t="s">
        <v>2074</v>
      </c>
      <c r="D86" s="607">
        <v>0</v>
      </c>
    </row>
    <row r="87" spans="1:4" s="612" customFormat="1" ht="17.649999999999999" customHeight="1">
      <c r="A87" s="623"/>
      <c r="B87" s="607"/>
      <c r="C87" s="617" t="s">
        <v>2076</v>
      </c>
      <c r="D87" s="607">
        <v>0</v>
      </c>
    </row>
    <row r="88" spans="1:4" s="612" customFormat="1" ht="17.649999999999999" customHeight="1">
      <c r="A88" s="623"/>
      <c r="B88" s="607"/>
      <c r="C88" s="617" t="s">
        <v>2078</v>
      </c>
      <c r="D88" s="607">
        <v>0</v>
      </c>
    </row>
    <row r="89" spans="1:4" s="612" customFormat="1" ht="17.649999999999999" customHeight="1">
      <c r="A89" s="623"/>
      <c r="B89" s="607"/>
      <c r="C89" s="617" t="s">
        <v>2080</v>
      </c>
      <c r="D89" s="607">
        <v>0</v>
      </c>
    </row>
    <row r="90" spans="1:4" s="612" customFormat="1" ht="17.649999999999999" customHeight="1">
      <c r="A90" s="623"/>
      <c r="B90" s="607"/>
      <c r="C90" s="617" t="s">
        <v>2082</v>
      </c>
      <c r="D90" s="607">
        <v>0</v>
      </c>
    </row>
    <row r="91" spans="1:4" s="612" customFormat="1" ht="17.649999999999999" customHeight="1">
      <c r="A91" s="623"/>
      <c r="B91" s="607"/>
      <c r="C91" s="617" t="s">
        <v>2084</v>
      </c>
      <c r="D91" s="607">
        <v>0</v>
      </c>
    </row>
    <row r="92" spans="1:4" s="612" customFormat="1" ht="17.649999999999999" customHeight="1">
      <c r="A92" s="623"/>
      <c r="B92" s="607"/>
      <c r="C92" s="617" t="s">
        <v>2086</v>
      </c>
      <c r="D92" s="607">
        <v>0</v>
      </c>
    </row>
    <row r="93" spans="1:4" s="612" customFormat="1" ht="17.649999999999999" customHeight="1">
      <c r="A93" s="623"/>
      <c r="B93" s="607"/>
      <c r="C93" s="617" t="s">
        <v>2088</v>
      </c>
      <c r="D93" s="607">
        <v>0</v>
      </c>
    </row>
    <row r="94" spans="1:4" s="612" customFormat="1" ht="17.649999999999999" customHeight="1">
      <c r="A94" s="623"/>
      <c r="B94" s="607"/>
      <c r="C94" s="617" t="s">
        <v>2090</v>
      </c>
      <c r="D94" s="607">
        <v>0</v>
      </c>
    </row>
    <row r="95" spans="1:4" s="612" customFormat="1" ht="17.649999999999999" customHeight="1">
      <c r="A95" s="623"/>
      <c r="B95" s="607"/>
      <c r="C95" s="615" t="s">
        <v>736</v>
      </c>
      <c r="D95" s="607">
        <v>20000</v>
      </c>
    </row>
    <row r="96" spans="1:4" s="612" customFormat="1" ht="17.649999999999999" customHeight="1">
      <c r="A96" s="615"/>
      <c r="B96" s="605"/>
      <c r="C96" s="615" t="s">
        <v>2072</v>
      </c>
      <c r="D96" s="605">
        <v>20000</v>
      </c>
    </row>
    <row r="97" spans="1:4" s="612" customFormat="1" ht="17.649999999999999" customHeight="1">
      <c r="A97" s="615"/>
      <c r="B97" s="605"/>
      <c r="C97" s="615" t="s">
        <v>2074</v>
      </c>
      <c r="D97" s="605">
        <v>0</v>
      </c>
    </row>
    <row r="98" spans="1:4" s="612" customFormat="1" ht="17.649999999999999" customHeight="1">
      <c r="A98" s="615"/>
      <c r="B98" s="605"/>
      <c r="C98" s="615" t="s">
        <v>2076</v>
      </c>
      <c r="D98" s="605">
        <v>20000</v>
      </c>
    </row>
    <row r="99" spans="1:4" s="612" customFormat="1" ht="17.649999999999999" customHeight="1">
      <c r="A99" s="615"/>
      <c r="B99" s="605"/>
      <c r="C99" s="615" t="s">
        <v>2078</v>
      </c>
      <c r="D99" s="605">
        <v>0</v>
      </c>
    </row>
    <row r="100" spans="1:4" s="612" customFormat="1" ht="17.649999999999999" customHeight="1">
      <c r="A100" s="615"/>
      <c r="B100" s="605"/>
      <c r="C100" s="615" t="s">
        <v>2080</v>
      </c>
      <c r="D100" s="605">
        <v>0</v>
      </c>
    </row>
    <row r="101" spans="1:4" s="612" customFormat="1" ht="17.649999999999999" customHeight="1">
      <c r="A101" s="615"/>
      <c r="B101" s="605"/>
      <c r="C101" s="615" t="s">
        <v>2082</v>
      </c>
      <c r="D101" s="605">
        <v>0</v>
      </c>
    </row>
    <row r="102" spans="1:4" s="612" customFormat="1" ht="17.649999999999999" customHeight="1">
      <c r="A102" s="615"/>
      <c r="B102" s="605"/>
      <c r="C102" s="615" t="s">
        <v>2084</v>
      </c>
      <c r="D102" s="605">
        <v>0</v>
      </c>
    </row>
    <row r="103" spans="1:4" s="612" customFormat="1" ht="17.649999999999999" customHeight="1">
      <c r="A103" s="615"/>
      <c r="B103" s="605"/>
      <c r="C103" s="615" t="s">
        <v>2086</v>
      </c>
      <c r="D103" s="605">
        <v>0</v>
      </c>
    </row>
    <row r="104" spans="1:4" s="612" customFormat="1" ht="17.649999999999999" customHeight="1">
      <c r="A104" s="615"/>
      <c r="B104" s="605"/>
      <c r="C104" s="615" t="s">
        <v>2088</v>
      </c>
      <c r="D104" s="605">
        <v>0</v>
      </c>
    </row>
    <row r="105" spans="1:4" s="612" customFormat="1" ht="17.649999999999999" customHeight="1">
      <c r="A105" s="615"/>
      <c r="B105" s="605"/>
      <c r="C105" s="615" t="s">
        <v>2090</v>
      </c>
      <c r="D105" s="605">
        <v>0</v>
      </c>
    </row>
    <row r="106" spans="1:4" s="612" customFormat="1" ht="17.649999999999999" customHeight="1">
      <c r="A106" s="615"/>
      <c r="B106" s="605"/>
      <c r="C106" s="622" t="s">
        <v>753</v>
      </c>
      <c r="D106" s="605">
        <v>0</v>
      </c>
    </row>
    <row r="107" spans="1:4" s="612" customFormat="1" ht="17.649999999999999" customHeight="1">
      <c r="A107" s="615"/>
      <c r="B107" s="605"/>
      <c r="C107" s="622" t="s">
        <v>2072</v>
      </c>
      <c r="D107" s="605">
        <v>0</v>
      </c>
    </row>
    <row r="108" spans="1:4" s="612" customFormat="1" ht="17.649999999999999" customHeight="1">
      <c r="A108" s="615"/>
      <c r="B108" s="605"/>
      <c r="C108" s="622" t="s">
        <v>2128</v>
      </c>
      <c r="D108" s="605">
        <v>0</v>
      </c>
    </row>
    <row r="109" spans="1:4" s="612" customFormat="1" ht="17.649999999999999" customHeight="1">
      <c r="A109" s="615"/>
      <c r="B109" s="605"/>
      <c r="C109" s="622" t="s">
        <v>2129</v>
      </c>
      <c r="D109" s="605">
        <v>0</v>
      </c>
    </row>
    <row r="110" spans="1:4" s="612" customFormat="1" ht="17.649999999999999" customHeight="1">
      <c r="A110" s="615"/>
      <c r="B110" s="605"/>
      <c r="C110" s="622" t="s">
        <v>2090</v>
      </c>
      <c r="D110" s="605">
        <v>0</v>
      </c>
    </row>
    <row r="111" spans="1:4" s="612" customFormat="1" ht="17.649999999999999" customHeight="1">
      <c r="A111" s="615"/>
      <c r="B111" s="605"/>
      <c r="C111" s="622" t="s">
        <v>1408</v>
      </c>
      <c r="D111" s="605">
        <v>173481</v>
      </c>
    </row>
    <row r="112" spans="1:4" s="612" customFormat="1" ht="17.649999999999999" customHeight="1">
      <c r="A112" s="622"/>
      <c r="B112" s="606"/>
      <c r="C112" s="622" t="s">
        <v>2072</v>
      </c>
      <c r="D112" s="606">
        <v>173481</v>
      </c>
    </row>
    <row r="113" spans="1:4" s="612" customFormat="1" ht="17.649999999999999" customHeight="1">
      <c r="A113" s="622"/>
      <c r="B113" s="606"/>
      <c r="C113" s="622" t="s">
        <v>2074</v>
      </c>
      <c r="D113" s="606">
        <v>152000</v>
      </c>
    </row>
    <row r="114" spans="1:4" s="612" customFormat="1" ht="17.649999999999999" customHeight="1">
      <c r="A114" s="622"/>
      <c r="B114" s="606"/>
      <c r="C114" s="622" t="s">
        <v>2076</v>
      </c>
      <c r="D114" s="606">
        <v>0</v>
      </c>
    </row>
    <row r="115" spans="1:4" s="612" customFormat="1" ht="17.649999999999999" customHeight="1">
      <c r="A115" s="622"/>
      <c r="B115" s="606"/>
      <c r="C115" s="622" t="s">
        <v>2078</v>
      </c>
      <c r="D115" s="606">
        <v>0</v>
      </c>
    </row>
    <row r="116" spans="1:4" s="612" customFormat="1" ht="17.649999999999999" customHeight="1">
      <c r="A116" s="622"/>
      <c r="B116" s="606"/>
      <c r="C116" s="622" t="s">
        <v>2080</v>
      </c>
      <c r="D116" s="606">
        <v>0</v>
      </c>
    </row>
    <row r="117" spans="1:4" s="612" customFormat="1" ht="17.649999999999999" customHeight="1">
      <c r="A117" s="622"/>
      <c r="B117" s="606"/>
      <c r="C117" s="622" t="s">
        <v>2082</v>
      </c>
      <c r="D117" s="606">
        <v>0</v>
      </c>
    </row>
    <row r="118" spans="1:4" s="612" customFormat="1" ht="17.649999999999999" customHeight="1">
      <c r="A118" s="622"/>
      <c r="B118" s="606"/>
      <c r="C118" s="622" t="s">
        <v>2084</v>
      </c>
      <c r="D118" s="606">
        <v>0</v>
      </c>
    </row>
    <row r="119" spans="1:4" s="612" customFormat="1" ht="17.649999999999999" customHeight="1">
      <c r="A119" s="622"/>
      <c r="B119" s="606"/>
      <c r="C119" s="622" t="s">
        <v>2086</v>
      </c>
      <c r="D119" s="606">
        <v>0</v>
      </c>
    </row>
    <row r="120" spans="1:4" s="612" customFormat="1" ht="17.649999999999999" customHeight="1">
      <c r="A120" s="622"/>
      <c r="B120" s="606"/>
      <c r="C120" s="622" t="s">
        <v>2088</v>
      </c>
      <c r="D120" s="606">
        <v>0</v>
      </c>
    </row>
    <row r="121" spans="1:4" s="612" customFormat="1" ht="17.649999999999999" customHeight="1">
      <c r="A121" s="622"/>
      <c r="B121" s="606"/>
      <c r="C121" s="622" t="s">
        <v>2090</v>
      </c>
      <c r="D121" s="606">
        <v>21481</v>
      </c>
    </row>
    <row r="122" spans="1:4" s="612" customFormat="1" ht="17.649999999999999" customHeight="1">
      <c r="A122" s="622"/>
      <c r="B122" s="606"/>
      <c r="C122" s="622"/>
      <c r="D122" s="606"/>
    </row>
    <row r="123" spans="1:4" s="612" customFormat="1" ht="17.649999999999999" customHeight="1">
      <c r="A123" s="630" t="s">
        <v>2061</v>
      </c>
      <c r="B123" s="631">
        <v>476654</v>
      </c>
      <c r="C123" s="630" t="s">
        <v>2062</v>
      </c>
      <c r="D123" s="631">
        <v>285558</v>
      </c>
    </row>
    <row r="124" spans="1:4" s="612" customFormat="1" ht="17.649999999999999" customHeight="1">
      <c r="A124" s="622"/>
      <c r="B124" s="606"/>
      <c r="C124" s="622"/>
      <c r="D124" s="606"/>
    </row>
    <row r="125" spans="1:4" s="612" customFormat="1" ht="17.649999999999999" customHeight="1">
      <c r="A125" s="622" t="s">
        <v>2130</v>
      </c>
      <c r="B125" s="605">
        <v>9655</v>
      </c>
      <c r="C125" s="604" t="s">
        <v>2065</v>
      </c>
      <c r="D125" s="606">
        <v>13464</v>
      </c>
    </row>
    <row r="126" spans="1:4" s="612" customFormat="1" ht="17.649999999999999" customHeight="1">
      <c r="A126" s="622"/>
      <c r="B126" s="606"/>
      <c r="C126" s="604" t="s">
        <v>2067</v>
      </c>
      <c r="D126" s="606">
        <v>187287</v>
      </c>
    </row>
    <row r="127" spans="1:4" s="612" customFormat="1" ht="17.649999999999999" customHeight="1">
      <c r="A127" s="622"/>
      <c r="B127" s="606"/>
      <c r="C127" s="622"/>
      <c r="D127" s="606"/>
    </row>
    <row r="128" spans="1:4" s="612" customFormat="1" ht="17.850000000000001" customHeight="1">
      <c r="A128" s="622"/>
      <c r="B128" s="606"/>
      <c r="C128" s="622"/>
      <c r="D128" s="606"/>
    </row>
    <row r="129" spans="1:4" s="632" customFormat="1" ht="17.649999999999999" customHeight="1">
      <c r="A129" s="630" t="s">
        <v>2131</v>
      </c>
      <c r="B129" s="631">
        <v>486309</v>
      </c>
      <c r="C129" s="630" t="s">
        <v>2062</v>
      </c>
      <c r="D129" s="631">
        <v>486309</v>
      </c>
    </row>
    <row r="130" spans="1:4" s="612" customFormat="1"/>
    <row r="133" spans="1:4">
      <c r="B133" s="603">
        <f>+B129-B123-B125</f>
        <v>0</v>
      </c>
      <c r="D133" s="603">
        <f>+D129-D123-D125-D126</f>
        <v>0</v>
      </c>
    </row>
    <row r="134" spans="1:4">
      <c r="B134" s="603">
        <f>+B123-B6-B37-B50</f>
        <v>0</v>
      </c>
      <c r="D134" s="603">
        <f>+D123-D15-D26-D51-D73-D95-D111</f>
        <v>0</v>
      </c>
    </row>
  </sheetData>
  <mergeCells count="2">
    <mergeCell ref="A1:D1"/>
    <mergeCell ref="A2:D2"/>
  </mergeCells>
  <phoneticPr fontId="23" type="noConversion"/>
  <printOptions horizontalCentered="1" verticalCentered="1" gridLines="1"/>
  <pageMargins left="0.55118110236220474" right="0.39370078740157483" top="0.59055118110236227" bottom="0.62" header="0" footer="0"/>
  <pageSetup paperSize="9" scale="8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19"/>
  <sheetViews>
    <sheetView workbookViewId="0">
      <selection activeCell="B20" sqref="B20"/>
    </sheetView>
  </sheetViews>
  <sheetFormatPr defaultRowHeight="14.25"/>
  <sheetData>
    <row r="19" spans="2:2" ht="35.25">
      <c r="B19" s="634" t="s">
        <v>2148</v>
      </c>
    </row>
  </sheetData>
  <phoneticPr fontId="23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2"/>
  <sheetViews>
    <sheetView topLeftCell="A16" workbookViewId="0">
      <selection activeCell="A32" sqref="A32"/>
    </sheetView>
  </sheetViews>
  <sheetFormatPr defaultRowHeight="14.25" customHeight="1"/>
  <cols>
    <col min="1" max="1" width="96.375" style="202" customWidth="1"/>
    <col min="2" max="2" width="3.625" style="193" customWidth="1"/>
    <col min="3" max="256" width="9" style="193"/>
    <col min="257" max="257" width="96.375" style="193" customWidth="1"/>
    <col min="258" max="258" width="3.625" style="193" customWidth="1"/>
    <col min="259" max="512" width="9" style="193"/>
    <col min="513" max="513" width="96.375" style="193" customWidth="1"/>
    <col min="514" max="514" width="3.625" style="193" customWidth="1"/>
    <col min="515" max="768" width="9" style="193"/>
    <col min="769" max="769" width="96.375" style="193" customWidth="1"/>
    <col min="770" max="770" width="3.625" style="193" customWidth="1"/>
    <col min="771" max="1024" width="9" style="193"/>
    <col min="1025" max="1025" width="96.375" style="193" customWidth="1"/>
    <col min="1026" max="1026" width="3.625" style="193" customWidth="1"/>
    <col min="1027" max="1280" width="9" style="193"/>
    <col min="1281" max="1281" width="96.375" style="193" customWidth="1"/>
    <col min="1282" max="1282" width="3.625" style="193" customWidth="1"/>
    <col min="1283" max="1536" width="9" style="193"/>
    <col min="1537" max="1537" width="96.375" style="193" customWidth="1"/>
    <col min="1538" max="1538" width="3.625" style="193" customWidth="1"/>
    <col min="1539" max="1792" width="9" style="193"/>
    <col min="1793" max="1793" width="96.375" style="193" customWidth="1"/>
    <col min="1794" max="1794" width="3.625" style="193" customWidth="1"/>
    <col min="1795" max="2048" width="9" style="193"/>
    <col min="2049" max="2049" width="96.375" style="193" customWidth="1"/>
    <col min="2050" max="2050" width="3.625" style="193" customWidth="1"/>
    <col min="2051" max="2304" width="9" style="193"/>
    <col min="2305" max="2305" width="96.375" style="193" customWidth="1"/>
    <col min="2306" max="2306" width="3.625" style="193" customWidth="1"/>
    <col min="2307" max="2560" width="9" style="193"/>
    <col min="2561" max="2561" width="96.375" style="193" customWidth="1"/>
    <col min="2562" max="2562" width="3.625" style="193" customWidth="1"/>
    <col min="2563" max="2816" width="9" style="193"/>
    <col min="2817" max="2817" width="96.375" style="193" customWidth="1"/>
    <col min="2818" max="2818" width="3.625" style="193" customWidth="1"/>
    <col min="2819" max="3072" width="9" style="193"/>
    <col min="3073" max="3073" width="96.375" style="193" customWidth="1"/>
    <col min="3074" max="3074" width="3.625" style="193" customWidth="1"/>
    <col min="3075" max="3328" width="9" style="193"/>
    <col min="3329" max="3329" width="96.375" style="193" customWidth="1"/>
    <col min="3330" max="3330" width="3.625" style="193" customWidth="1"/>
    <col min="3331" max="3584" width="9" style="193"/>
    <col min="3585" max="3585" width="96.375" style="193" customWidth="1"/>
    <col min="3586" max="3586" width="3.625" style="193" customWidth="1"/>
    <col min="3587" max="3840" width="9" style="193"/>
    <col min="3841" max="3841" width="96.375" style="193" customWidth="1"/>
    <col min="3842" max="3842" width="3.625" style="193" customWidth="1"/>
    <col min="3843" max="4096" width="9" style="193"/>
    <col min="4097" max="4097" width="96.375" style="193" customWidth="1"/>
    <col min="4098" max="4098" width="3.625" style="193" customWidth="1"/>
    <col min="4099" max="4352" width="9" style="193"/>
    <col min="4353" max="4353" width="96.375" style="193" customWidth="1"/>
    <col min="4354" max="4354" width="3.625" style="193" customWidth="1"/>
    <col min="4355" max="4608" width="9" style="193"/>
    <col min="4609" max="4609" width="96.375" style="193" customWidth="1"/>
    <col min="4610" max="4610" width="3.625" style="193" customWidth="1"/>
    <col min="4611" max="4864" width="9" style="193"/>
    <col min="4865" max="4865" width="96.375" style="193" customWidth="1"/>
    <col min="4866" max="4866" width="3.625" style="193" customWidth="1"/>
    <col min="4867" max="5120" width="9" style="193"/>
    <col min="5121" max="5121" width="96.375" style="193" customWidth="1"/>
    <col min="5122" max="5122" width="3.625" style="193" customWidth="1"/>
    <col min="5123" max="5376" width="9" style="193"/>
    <col min="5377" max="5377" width="96.375" style="193" customWidth="1"/>
    <col min="5378" max="5378" width="3.625" style="193" customWidth="1"/>
    <col min="5379" max="5632" width="9" style="193"/>
    <col min="5633" max="5633" width="96.375" style="193" customWidth="1"/>
    <col min="5634" max="5634" width="3.625" style="193" customWidth="1"/>
    <col min="5635" max="5888" width="9" style="193"/>
    <col min="5889" max="5889" width="96.375" style="193" customWidth="1"/>
    <col min="5890" max="5890" width="3.625" style="193" customWidth="1"/>
    <col min="5891" max="6144" width="9" style="193"/>
    <col min="6145" max="6145" width="96.375" style="193" customWidth="1"/>
    <col min="6146" max="6146" width="3.625" style="193" customWidth="1"/>
    <col min="6147" max="6400" width="9" style="193"/>
    <col min="6401" max="6401" width="96.375" style="193" customWidth="1"/>
    <col min="6402" max="6402" width="3.625" style="193" customWidth="1"/>
    <col min="6403" max="6656" width="9" style="193"/>
    <col min="6657" max="6657" width="96.375" style="193" customWidth="1"/>
    <col min="6658" max="6658" width="3.625" style="193" customWidth="1"/>
    <col min="6659" max="6912" width="9" style="193"/>
    <col min="6913" max="6913" width="96.375" style="193" customWidth="1"/>
    <col min="6914" max="6914" width="3.625" style="193" customWidth="1"/>
    <col min="6915" max="7168" width="9" style="193"/>
    <col min="7169" max="7169" width="96.375" style="193" customWidth="1"/>
    <col min="7170" max="7170" width="3.625" style="193" customWidth="1"/>
    <col min="7171" max="7424" width="9" style="193"/>
    <col min="7425" max="7425" width="96.375" style="193" customWidth="1"/>
    <col min="7426" max="7426" width="3.625" style="193" customWidth="1"/>
    <col min="7427" max="7680" width="9" style="193"/>
    <col min="7681" max="7681" width="96.375" style="193" customWidth="1"/>
    <col min="7682" max="7682" width="3.625" style="193" customWidth="1"/>
    <col min="7683" max="7936" width="9" style="193"/>
    <col min="7937" max="7937" width="96.375" style="193" customWidth="1"/>
    <col min="7938" max="7938" width="3.625" style="193" customWidth="1"/>
    <col min="7939" max="8192" width="9" style="193"/>
    <col min="8193" max="8193" width="96.375" style="193" customWidth="1"/>
    <col min="8194" max="8194" width="3.625" style="193" customWidth="1"/>
    <col min="8195" max="8448" width="9" style="193"/>
    <col min="8449" max="8449" width="96.375" style="193" customWidth="1"/>
    <col min="8450" max="8450" width="3.625" style="193" customWidth="1"/>
    <col min="8451" max="8704" width="9" style="193"/>
    <col min="8705" max="8705" width="96.375" style="193" customWidth="1"/>
    <col min="8706" max="8706" width="3.625" style="193" customWidth="1"/>
    <col min="8707" max="8960" width="9" style="193"/>
    <col min="8961" max="8961" width="96.375" style="193" customWidth="1"/>
    <col min="8962" max="8962" width="3.625" style="193" customWidth="1"/>
    <col min="8963" max="9216" width="9" style="193"/>
    <col min="9217" max="9217" width="96.375" style="193" customWidth="1"/>
    <col min="9218" max="9218" width="3.625" style="193" customWidth="1"/>
    <col min="9219" max="9472" width="9" style="193"/>
    <col min="9473" max="9473" width="96.375" style="193" customWidth="1"/>
    <col min="9474" max="9474" width="3.625" style="193" customWidth="1"/>
    <col min="9475" max="9728" width="9" style="193"/>
    <col min="9729" max="9729" width="96.375" style="193" customWidth="1"/>
    <col min="9730" max="9730" width="3.625" style="193" customWidth="1"/>
    <col min="9731" max="9984" width="9" style="193"/>
    <col min="9985" max="9985" width="96.375" style="193" customWidth="1"/>
    <col min="9986" max="9986" width="3.625" style="193" customWidth="1"/>
    <col min="9987" max="10240" width="9" style="193"/>
    <col min="10241" max="10241" width="96.375" style="193" customWidth="1"/>
    <col min="10242" max="10242" width="3.625" style="193" customWidth="1"/>
    <col min="10243" max="10496" width="9" style="193"/>
    <col min="10497" max="10497" width="96.375" style="193" customWidth="1"/>
    <col min="10498" max="10498" width="3.625" style="193" customWidth="1"/>
    <col min="10499" max="10752" width="9" style="193"/>
    <col min="10753" max="10753" width="96.375" style="193" customWidth="1"/>
    <col min="10754" max="10754" width="3.625" style="193" customWidth="1"/>
    <col min="10755" max="11008" width="9" style="193"/>
    <col min="11009" max="11009" width="96.375" style="193" customWidth="1"/>
    <col min="11010" max="11010" width="3.625" style="193" customWidth="1"/>
    <col min="11011" max="11264" width="9" style="193"/>
    <col min="11265" max="11265" width="96.375" style="193" customWidth="1"/>
    <col min="11266" max="11266" width="3.625" style="193" customWidth="1"/>
    <col min="11267" max="11520" width="9" style="193"/>
    <col min="11521" max="11521" width="96.375" style="193" customWidth="1"/>
    <col min="11522" max="11522" width="3.625" style="193" customWidth="1"/>
    <col min="11523" max="11776" width="9" style="193"/>
    <col min="11777" max="11777" width="96.375" style="193" customWidth="1"/>
    <col min="11778" max="11778" width="3.625" style="193" customWidth="1"/>
    <col min="11779" max="12032" width="9" style="193"/>
    <col min="12033" max="12033" width="96.375" style="193" customWidth="1"/>
    <col min="12034" max="12034" width="3.625" style="193" customWidth="1"/>
    <col min="12035" max="12288" width="9" style="193"/>
    <col min="12289" max="12289" width="96.375" style="193" customWidth="1"/>
    <col min="12290" max="12290" width="3.625" style="193" customWidth="1"/>
    <col min="12291" max="12544" width="9" style="193"/>
    <col min="12545" max="12545" width="96.375" style="193" customWidth="1"/>
    <col min="12546" max="12546" width="3.625" style="193" customWidth="1"/>
    <col min="12547" max="12800" width="9" style="193"/>
    <col min="12801" max="12801" width="96.375" style="193" customWidth="1"/>
    <col min="12802" max="12802" width="3.625" style="193" customWidth="1"/>
    <col min="12803" max="13056" width="9" style="193"/>
    <col min="13057" max="13057" width="96.375" style="193" customWidth="1"/>
    <col min="13058" max="13058" width="3.625" style="193" customWidth="1"/>
    <col min="13059" max="13312" width="9" style="193"/>
    <col min="13313" max="13313" width="96.375" style="193" customWidth="1"/>
    <col min="13314" max="13314" width="3.625" style="193" customWidth="1"/>
    <col min="13315" max="13568" width="9" style="193"/>
    <col min="13569" max="13569" width="96.375" style="193" customWidth="1"/>
    <col min="13570" max="13570" width="3.625" style="193" customWidth="1"/>
    <col min="13571" max="13824" width="9" style="193"/>
    <col min="13825" max="13825" width="96.375" style="193" customWidth="1"/>
    <col min="13826" max="13826" width="3.625" style="193" customWidth="1"/>
    <col min="13827" max="14080" width="9" style="193"/>
    <col min="14081" max="14081" width="96.375" style="193" customWidth="1"/>
    <col min="14082" max="14082" width="3.625" style="193" customWidth="1"/>
    <col min="14083" max="14336" width="9" style="193"/>
    <col min="14337" max="14337" width="96.375" style="193" customWidth="1"/>
    <col min="14338" max="14338" width="3.625" style="193" customWidth="1"/>
    <col min="14339" max="14592" width="9" style="193"/>
    <col min="14593" max="14593" width="96.375" style="193" customWidth="1"/>
    <col min="14594" max="14594" width="3.625" style="193" customWidth="1"/>
    <col min="14595" max="14848" width="9" style="193"/>
    <col min="14849" max="14849" width="96.375" style="193" customWidth="1"/>
    <col min="14850" max="14850" width="3.625" style="193" customWidth="1"/>
    <col min="14851" max="15104" width="9" style="193"/>
    <col min="15105" max="15105" width="96.375" style="193" customWidth="1"/>
    <col min="15106" max="15106" width="3.625" style="193" customWidth="1"/>
    <col min="15107" max="15360" width="9" style="193"/>
    <col min="15361" max="15361" width="96.375" style="193" customWidth="1"/>
    <col min="15362" max="15362" width="3.625" style="193" customWidth="1"/>
    <col min="15363" max="15616" width="9" style="193"/>
    <col min="15617" max="15617" width="96.375" style="193" customWidth="1"/>
    <col min="15618" max="15618" width="3.625" style="193" customWidth="1"/>
    <col min="15619" max="15872" width="9" style="193"/>
    <col min="15873" max="15873" width="96.375" style="193" customWidth="1"/>
    <col min="15874" max="15874" width="3.625" style="193" customWidth="1"/>
    <col min="15875" max="16128" width="9" style="193"/>
    <col min="16129" max="16129" width="96.375" style="193" customWidth="1"/>
    <col min="16130" max="16130" width="3.625" style="193" customWidth="1"/>
    <col min="16131" max="16384" width="9" style="193"/>
  </cols>
  <sheetData>
    <row r="1" spans="1:2" ht="38.25" customHeight="1">
      <c r="A1" s="195" t="s">
        <v>1476</v>
      </c>
      <c r="B1" s="196"/>
    </row>
    <row r="2" spans="1:2" ht="15.75" customHeight="1">
      <c r="A2" s="197"/>
      <c r="B2" s="198"/>
    </row>
    <row r="3" spans="1:2" ht="20.25" customHeight="1">
      <c r="A3" s="199" t="s">
        <v>1477</v>
      </c>
      <c r="B3" s="200"/>
    </row>
    <row r="4" spans="1:2" ht="20.25" customHeight="1">
      <c r="A4" s="199" t="s">
        <v>1478</v>
      </c>
      <c r="B4" s="200"/>
    </row>
    <row r="5" spans="1:2" ht="20.25" customHeight="1">
      <c r="A5" s="199" t="s">
        <v>1479</v>
      </c>
      <c r="B5" s="200"/>
    </row>
    <row r="6" spans="1:2" ht="20.25" customHeight="1">
      <c r="A6" s="199" t="s">
        <v>1480</v>
      </c>
      <c r="B6" s="200"/>
    </row>
    <row r="7" spans="1:2" ht="20.25" customHeight="1">
      <c r="A7" s="199" t="s">
        <v>1481</v>
      </c>
      <c r="B7" s="200"/>
    </row>
    <row r="8" spans="1:2" ht="20.25" customHeight="1">
      <c r="A8" s="199" t="s">
        <v>1482</v>
      </c>
      <c r="B8" s="200"/>
    </row>
    <row r="9" spans="1:2" ht="20.25" customHeight="1">
      <c r="A9" s="199" t="s">
        <v>1483</v>
      </c>
      <c r="B9" s="201"/>
    </row>
    <row r="10" spans="1:2" ht="20.25" customHeight="1">
      <c r="A10" s="199" t="s">
        <v>1484</v>
      </c>
      <c r="B10" s="201"/>
    </row>
    <row r="11" spans="1:2" ht="20.25" customHeight="1">
      <c r="A11" s="199" t="s">
        <v>1485</v>
      </c>
      <c r="B11" s="200"/>
    </row>
    <row r="12" spans="1:2" ht="20.25" customHeight="1">
      <c r="A12" s="199" t="s">
        <v>1486</v>
      </c>
      <c r="B12" s="200"/>
    </row>
    <row r="13" spans="1:2" ht="20.25" customHeight="1">
      <c r="A13" s="199" t="s">
        <v>1487</v>
      </c>
      <c r="B13" s="200"/>
    </row>
    <row r="14" spans="1:2" ht="20.25" customHeight="1">
      <c r="A14" s="199" t="s">
        <v>1488</v>
      </c>
      <c r="B14" s="200"/>
    </row>
    <row r="15" spans="1:2" ht="20.25" customHeight="1">
      <c r="A15" s="199" t="s">
        <v>1489</v>
      </c>
      <c r="B15" s="200"/>
    </row>
    <row r="16" spans="1:2" ht="20.25" customHeight="1">
      <c r="A16" s="199" t="s">
        <v>1490</v>
      </c>
      <c r="B16" s="200"/>
    </row>
    <row r="17" spans="1:2" ht="20.25" customHeight="1">
      <c r="A17" s="199" t="s">
        <v>1491</v>
      </c>
      <c r="B17" s="200"/>
    </row>
    <row r="18" spans="1:2" ht="20.25" customHeight="1">
      <c r="A18" s="199" t="s">
        <v>1492</v>
      </c>
      <c r="B18" s="200"/>
    </row>
    <row r="19" spans="1:2" ht="20.25" customHeight="1">
      <c r="A19" s="199" t="s">
        <v>1493</v>
      </c>
      <c r="B19" s="200"/>
    </row>
    <row r="20" spans="1:2" ht="20.25" customHeight="1">
      <c r="A20" s="199" t="s">
        <v>1494</v>
      </c>
      <c r="B20" s="200"/>
    </row>
    <row r="21" spans="1:2" ht="20.25" customHeight="1">
      <c r="A21" s="199" t="s">
        <v>1495</v>
      </c>
      <c r="B21" s="200"/>
    </row>
    <row r="22" spans="1:2" ht="20.25" customHeight="1">
      <c r="A22" s="199" t="s">
        <v>1496</v>
      </c>
      <c r="B22" s="200"/>
    </row>
  </sheetData>
  <phoneticPr fontId="23" type="noConversion"/>
  <printOptions horizontalCentered="1" verticalCentered="1"/>
  <pageMargins left="1.3385826771653544" right="0.94488188976377963" top="0.59055118110236227" bottom="0.59055118110236227" header="0.51181102362204722" footer="0.51181102362204722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Zeros="0" topLeftCell="B1" workbookViewId="0">
      <pane ySplit="3" topLeftCell="A37" activePane="bottomLeft" state="frozen"/>
      <selection activeCell="A209" sqref="A209"/>
      <selection pane="bottomLeft" activeCell="I48" sqref="I48"/>
    </sheetView>
  </sheetViews>
  <sheetFormatPr defaultRowHeight="14.25"/>
  <cols>
    <col min="1" max="1" width="25.625" style="15" customWidth="1"/>
    <col min="2" max="2" width="13.75" style="595" bestFit="1" customWidth="1"/>
    <col min="3" max="3" width="12.625" style="595" bestFit="1" customWidth="1"/>
    <col min="4" max="4" width="12.75" style="585" bestFit="1" customWidth="1"/>
    <col min="5" max="5" width="10.625" style="596" customWidth="1"/>
    <col min="6" max="6" width="12.75" style="597" bestFit="1" customWidth="1"/>
    <col min="7" max="7" width="10.625" style="596" customWidth="1"/>
    <col min="8" max="8" width="10.625" style="596" hidden="1" customWidth="1"/>
    <col min="9" max="9" width="26.5" style="15" customWidth="1"/>
    <col min="10" max="10" width="15" style="585" bestFit="1" customWidth="1"/>
    <col min="11" max="12" width="12.75" style="585" bestFit="1" customWidth="1"/>
    <col min="13" max="13" width="10.625" style="596" customWidth="1"/>
    <col min="14" max="14" width="12.75" style="598" bestFit="1" customWidth="1"/>
    <col min="15" max="15" width="10.625" style="596" customWidth="1"/>
    <col min="16" max="16" width="9" style="15"/>
    <col min="17" max="17" width="30.75" style="15" bestFit="1" customWidth="1"/>
    <col min="18" max="16384" width="9" style="15"/>
  </cols>
  <sheetData>
    <row r="1" spans="1:15" ht="42" customHeight="1">
      <c r="A1" s="674" t="s">
        <v>1263</v>
      </c>
      <c r="B1" s="675"/>
      <c r="C1" s="675"/>
      <c r="D1" s="675"/>
      <c r="E1" s="674"/>
      <c r="F1" s="674"/>
      <c r="G1" s="674"/>
      <c r="H1" s="674"/>
      <c r="I1" s="674"/>
      <c r="J1" s="675"/>
      <c r="K1" s="675"/>
      <c r="L1" s="675"/>
      <c r="M1" s="674"/>
      <c r="N1" s="674"/>
      <c r="O1" s="674"/>
    </row>
    <row r="2" spans="1:15" ht="14.25" customHeight="1">
      <c r="A2" s="4"/>
      <c r="B2" s="1"/>
      <c r="C2" s="1"/>
      <c r="D2" s="2"/>
      <c r="E2" s="5"/>
      <c r="F2" s="11"/>
      <c r="G2" s="5"/>
      <c r="H2" s="5"/>
      <c r="I2" s="4"/>
      <c r="L2" s="3"/>
      <c r="M2" s="6"/>
      <c r="N2" s="12"/>
      <c r="O2" s="3" t="s">
        <v>1103</v>
      </c>
    </row>
    <row r="3" spans="1:15" ht="37.9" customHeight="1">
      <c r="A3" s="72" t="s">
        <v>923</v>
      </c>
      <c r="B3" s="73" t="s">
        <v>1264</v>
      </c>
      <c r="C3" s="73" t="s">
        <v>1265</v>
      </c>
      <c r="D3" s="73" t="s">
        <v>1266</v>
      </c>
      <c r="E3" s="73" t="s">
        <v>1096</v>
      </c>
      <c r="F3" s="74" t="s">
        <v>922</v>
      </c>
      <c r="G3" s="73" t="s">
        <v>1267</v>
      </c>
      <c r="H3" s="73" t="s">
        <v>1099</v>
      </c>
      <c r="I3" s="72" t="s">
        <v>924</v>
      </c>
      <c r="J3" s="73" t="s">
        <v>1264</v>
      </c>
      <c r="K3" s="73" t="s">
        <v>1265</v>
      </c>
      <c r="L3" s="73" t="s">
        <v>1266</v>
      </c>
      <c r="M3" s="73" t="s">
        <v>1096</v>
      </c>
      <c r="N3" s="74" t="s">
        <v>922</v>
      </c>
      <c r="O3" s="73" t="s">
        <v>1267</v>
      </c>
    </row>
    <row r="4" spans="1:15" s="19" customFormat="1" ht="17.25" customHeight="1">
      <c r="A4" s="76" t="s">
        <v>1100</v>
      </c>
      <c r="B4" s="584">
        <v>19735859</v>
      </c>
      <c r="C4" s="656">
        <v>19845359</v>
      </c>
      <c r="D4" s="77">
        <v>22722315</v>
      </c>
      <c r="E4" s="78">
        <f t="shared" ref="E4:E22" si="0">+D4/C4</f>
        <v>1.1449687052776421</v>
      </c>
      <c r="F4" s="123">
        <v>17548398</v>
      </c>
      <c r="G4" s="149">
        <f>+D4/F4-1</f>
        <v>0.29483699879612946</v>
      </c>
      <c r="H4" s="80">
        <v>201</v>
      </c>
      <c r="I4" s="80" t="s">
        <v>2162</v>
      </c>
      <c r="J4" s="647">
        <v>1832939</v>
      </c>
      <c r="K4" s="647">
        <v>1853756</v>
      </c>
      <c r="L4" s="647">
        <v>1801982</v>
      </c>
      <c r="M4" s="156">
        <f>IF(ISERROR(L4/K4),"",(L4/K4))</f>
        <v>0.97207075796383124</v>
      </c>
      <c r="N4" s="647">
        <v>1514366</v>
      </c>
      <c r="O4" s="156">
        <f>IF(ISERROR(L4/N4-1),"",(L4/N4-1))</f>
        <v>0.18992502472982098</v>
      </c>
    </row>
    <row r="5" spans="1:15" ht="17.25" customHeight="1">
      <c r="A5" s="86" t="s">
        <v>1415</v>
      </c>
      <c r="B5" s="145">
        <v>3594932</v>
      </c>
      <c r="C5" s="646">
        <v>3561755</v>
      </c>
      <c r="D5" s="87">
        <v>3362040</v>
      </c>
      <c r="E5" s="88">
        <f t="shared" si="0"/>
        <v>0.94392792317270557</v>
      </c>
      <c r="F5" s="87">
        <v>3156076</v>
      </c>
      <c r="G5" s="88">
        <f t="shared" ref="G5:G22" si="1">+D5/F5-1</f>
        <v>6.5259518465334843E-2</v>
      </c>
      <c r="H5" s="90">
        <v>20101</v>
      </c>
      <c r="I5" s="80" t="s">
        <v>2163</v>
      </c>
      <c r="J5" s="87"/>
      <c r="K5" s="647">
        <v>0</v>
      </c>
      <c r="L5" s="647">
        <v>0</v>
      </c>
      <c r="M5" s="156" t="str">
        <f t="shared" ref="M5:M26" si="2">IF(ISERROR(L5/K5),"",(L5/K5))</f>
        <v/>
      </c>
      <c r="N5" s="648">
        <v>0</v>
      </c>
      <c r="O5" s="156" t="str">
        <f t="shared" ref="O5:O26" si="3">IF(ISERROR(L5/N5-1),"",(L5/N5-1))</f>
        <v/>
      </c>
    </row>
    <row r="6" spans="1:15" ht="17.25" customHeight="1">
      <c r="A6" s="86" t="s">
        <v>1416</v>
      </c>
      <c r="B6" s="145">
        <v>5350662</v>
      </c>
      <c r="C6" s="646">
        <v>5409643</v>
      </c>
      <c r="D6" s="87">
        <v>6846839</v>
      </c>
      <c r="E6" s="88">
        <f t="shared" si="0"/>
        <v>1.2656729843355652</v>
      </c>
      <c r="F6" s="87">
        <v>4798432</v>
      </c>
      <c r="G6" s="88">
        <f t="shared" si="1"/>
        <v>0.42689090936372542</v>
      </c>
      <c r="H6" s="90">
        <v>2010101</v>
      </c>
      <c r="I6" s="80" t="s">
        <v>2164</v>
      </c>
      <c r="J6" s="647">
        <v>21641</v>
      </c>
      <c r="K6" s="647">
        <v>13221</v>
      </c>
      <c r="L6" s="647">
        <v>12727</v>
      </c>
      <c r="M6" s="156">
        <f t="shared" si="2"/>
        <v>0.96263520157325466</v>
      </c>
      <c r="N6" s="647">
        <v>20379</v>
      </c>
      <c r="O6" s="156">
        <f t="shared" si="3"/>
        <v>-0.37548456744688163</v>
      </c>
    </row>
    <row r="7" spans="1:15" ht="17.25" customHeight="1">
      <c r="A7" s="86" t="s">
        <v>1417</v>
      </c>
      <c r="B7" s="145">
        <v>3943850</v>
      </c>
      <c r="C7" s="646">
        <v>3992904</v>
      </c>
      <c r="D7" s="87">
        <v>4649574</v>
      </c>
      <c r="E7" s="88">
        <f t="shared" si="0"/>
        <v>1.164459250710761</v>
      </c>
      <c r="F7" s="87">
        <v>3450200</v>
      </c>
      <c r="G7" s="88">
        <f t="shared" si="1"/>
        <v>0.34762448553707026</v>
      </c>
      <c r="H7" s="90">
        <v>2010102</v>
      </c>
      <c r="I7" s="80" t="s">
        <v>2165</v>
      </c>
      <c r="J7" s="647">
        <v>1861388</v>
      </c>
      <c r="K7" s="647">
        <v>1633499</v>
      </c>
      <c r="L7" s="647">
        <v>1609954</v>
      </c>
      <c r="M7" s="156">
        <f t="shared" si="2"/>
        <v>0.98558615585317166</v>
      </c>
      <c r="N7" s="649">
        <v>1446981</v>
      </c>
      <c r="O7" s="156">
        <f t="shared" si="3"/>
        <v>0.11262967516505062</v>
      </c>
    </row>
    <row r="8" spans="1:15" ht="17.25" customHeight="1">
      <c r="A8" s="86" t="s">
        <v>1418</v>
      </c>
      <c r="B8" s="145">
        <v>1884690</v>
      </c>
      <c r="C8" s="646">
        <v>1888463</v>
      </c>
      <c r="D8" s="87">
        <v>2239807</v>
      </c>
      <c r="E8" s="88">
        <f t="shared" si="0"/>
        <v>1.1860475953195799</v>
      </c>
      <c r="F8" s="87">
        <v>1684918</v>
      </c>
      <c r="G8" s="88">
        <f t="shared" si="1"/>
        <v>0.32932700582461583</v>
      </c>
      <c r="H8" s="90">
        <v>2010103</v>
      </c>
      <c r="I8" s="80" t="s">
        <v>2166</v>
      </c>
      <c r="J8" s="647">
        <v>3790726</v>
      </c>
      <c r="K8" s="647">
        <v>3829441</v>
      </c>
      <c r="L8" s="647">
        <v>2885520</v>
      </c>
      <c r="M8" s="156">
        <f t="shared" si="2"/>
        <v>0.75350945477420861</v>
      </c>
      <c r="N8" s="647">
        <v>3294137</v>
      </c>
      <c r="O8" s="156">
        <f t="shared" si="3"/>
        <v>-0.12404371767173006</v>
      </c>
    </row>
    <row r="9" spans="1:15" ht="17.25" customHeight="1">
      <c r="A9" s="86" t="s">
        <v>1419</v>
      </c>
      <c r="B9" s="145">
        <v>1187302</v>
      </c>
      <c r="C9" s="646">
        <v>1183025</v>
      </c>
      <c r="D9" s="87">
        <v>1216294</v>
      </c>
      <c r="E9" s="88">
        <f t="shared" si="0"/>
        <v>1.0281219754443058</v>
      </c>
      <c r="F9" s="87">
        <v>1077683</v>
      </c>
      <c r="G9" s="88">
        <f t="shared" si="1"/>
        <v>0.12861945488608439</v>
      </c>
      <c r="H9" s="90">
        <v>2010104</v>
      </c>
      <c r="I9" s="80" t="s">
        <v>2167</v>
      </c>
      <c r="J9" s="647">
        <v>1058482</v>
      </c>
      <c r="K9" s="647">
        <v>2301781</v>
      </c>
      <c r="L9" s="647">
        <v>2143182</v>
      </c>
      <c r="M9" s="156">
        <f t="shared" si="2"/>
        <v>0.93109726772442736</v>
      </c>
      <c r="N9" s="648">
        <v>945707</v>
      </c>
      <c r="O9" s="156">
        <f t="shared" si="3"/>
        <v>1.2662219905319514</v>
      </c>
    </row>
    <row r="10" spans="1:15" ht="17.25" customHeight="1">
      <c r="A10" s="86" t="s">
        <v>1420</v>
      </c>
      <c r="B10" s="145">
        <v>464077</v>
      </c>
      <c r="C10" s="646">
        <v>463651</v>
      </c>
      <c r="D10" s="87">
        <v>499804</v>
      </c>
      <c r="E10" s="88">
        <f t="shared" si="0"/>
        <v>1.0779745972725174</v>
      </c>
      <c r="F10" s="87">
        <v>421652</v>
      </c>
      <c r="G10" s="88">
        <f t="shared" si="1"/>
        <v>0.18534715832013138</v>
      </c>
      <c r="H10" s="90">
        <v>2010105</v>
      </c>
      <c r="I10" s="80" t="s">
        <v>2168</v>
      </c>
      <c r="J10" s="647">
        <v>442472</v>
      </c>
      <c r="K10" s="647">
        <v>588124</v>
      </c>
      <c r="L10" s="647">
        <v>527260</v>
      </c>
      <c r="M10" s="156">
        <f t="shared" si="2"/>
        <v>0.89651161999850371</v>
      </c>
      <c r="N10" s="647">
        <v>580070</v>
      </c>
      <c r="O10" s="156">
        <f t="shared" si="3"/>
        <v>-9.1040736462840721E-2</v>
      </c>
    </row>
    <row r="11" spans="1:15" ht="17.25" customHeight="1">
      <c r="A11" s="86" t="s">
        <v>1421</v>
      </c>
      <c r="B11" s="145">
        <v>419416</v>
      </c>
      <c r="C11" s="646">
        <v>414786</v>
      </c>
      <c r="D11" s="87">
        <v>674839</v>
      </c>
      <c r="E11" s="88">
        <f t="shared" si="0"/>
        <v>1.6269570332653465</v>
      </c>
      <c r="F11" s="87">
        <v>374457</v>
      </c>
      <c r="G11" s="88">
        <f t="shared" si="1"/>
        <v>0.80218022363048358</v>
      </c>
      <c r="H11" s="90">
        <v>2010106</v>
      </c>
      <c r="I11" s="80" t="s">
        <v>2169</v>
      </c>
      <c r="J11" s="647">
        <v>976753</v>
      </c>
      <c r="K11" s="647">
        <v>976584</v>
      </c>
      <c r="L11" s="647">
        <v>845801</v>
      </c>
      <c r="M11" s="156">
        <f t="shared" si="2"/>
        <v>0.86608115635726168</v>
      </c>
      <c r="N11" s="649">
        <v>738828</v>
      </c>
      <c r="O11" s="156">
        <f t="shared" si="3"/>
        <v>0.14478742007612055</v>
      </c>
    </row>
    <row r="12" spans="1:15" ht="17.25" customHeight="1">
      <c r="A12" s="86" t="s">
        <v>1422</v>
      </c>
      <c r="B12" s="145">
        <v>109712</v>
      </c>
      <c r="C12" s="646">
        <v>106990</v>
      </c>
      <c r="D12" s="87">
        <v>105700</v>
      </c>
      <c r="E12" s="88">
        <f t="shared" si="0"/>
        <v>0.98794279839237309</v>
      </c>
      <c r="F12" s="87">
        <v>92396</v>
      </c>
      <c r="G12" s="88">
        <f t="shared" si="1"/>
        <v>0.14398891726914576</v>
      </c>
      <c r="H12" s="90">
        <v>2010107</v>
      </c>
      <c r="I12" s="80" t="s">
        <v>2170</v>
      </c>
      <c r="J12" s="647">
        <v>1592892</v>
      </c>
      <c r="K12" s="647">
        <v>1570349</v>
      </c>
      <c r="L12" s="647">
        <v>1505974</v>
      </c>
      <c r="M12" s="156">
        <f t="shared" si="2"/>
        <v>0.95900592798161433</v>
      </c>
      <c r="N12" s="647">
        <v>1576028</v>
      </c>
      <c r="O12" s="156">
        <f t="shared" si="3"/>
        <v>-4.444971789841301E-2</v>
      </c>
    </row>
    <row r="13" spans="1:15" ht="17.25" customHeight="1">
      <c r="A13" s="86" t="s">
        <v>1424</v>
      </c>
      <c r="B13" s="145">
        <v>1418747</v>
      </c>
      <c r="C13" s="646">
        <v>1455786</v>
      </c>
      <c r="D13" s="87">
        <v>1915388</v>
      </c>
      <c r="E13" s="88">
        <f t="shared" si="0"/>
        <v>1.3157071162931915</v>
      </c>
      <c r="F13" s="146">
        <v>1235524</v>
      </c>
      <c r="G13" s="88">
        <f t="shared" si="1"/>
        <v>0.55026369378498519</v>
      </c>
      <c r="H13" s="90">
        <v>2010108</v>
      </c>
      <c r="I13" s="80" t="s">
        <v>2171</v>
      </c>
      <c r="J13" s="647">
        <v>1026940</v>
      </c>
      <c r="K13" s="647">
        <v>1205597</v>
      </c>
      <c r="L13" s="647">
        <v>1083493</v>
      </c>
      <c r="M13" s="156">
        <f t="shared" si="2"/>
        <v>0.89871905786096018</v>
      </c>
      <c r="N13" s="648">
        <v>1352999</v>
      </c>
      <c r="O13" s="156">
        <f t="shared" si="3"/>
        <v>-0.19919157368187268</v>
      </c>
    </row>
    <row r="14" spans="1:15" ht="17.25" customHeight="1">
      <c r="A14" s="86" t="s">
        <v>1423</v>
      </c>
      <c r="B14" s="145">
        <v>150000</v>
      </c>
      <c r="C14" s="646">
        <v>150000</v>
      </c>
      <c r="D14" s="87">
        <v>165356</v>
      </c>
      <c r="E14" s="88">
        <f t="shared" si="0"/>
        <v>1.1023733333333334</v>
      </c>
      <c r="F14" s="87">
        <v>147068</v>
      </c>
      <c r="G14" s="88">
        <f t="shared" si="1"/>
        <v>0.12435064052003164</v>
      </c>
      <c r="H14" s="90">
        <v>2010109</v>
      </c>
      <c r="I14" s="80" t="s">
        <v>2172</v>
      </c>
      <c r="J14" s="647">
        <v>4101384</v>
      </c>
      <c r="K14" s="647">
        <v>4797188</v>
      </c>
      <c r="L14" s="647">
        <v>4656457</v>
      </c>
      <c r="M14" s="156">
        <f t="shared" si="2"/>
        <v>0.97066385557539125</v>
      </c>
      <c r="N14" s="647">
        <v>2458768</v>
      </c>
      <c r="O14" s="156">
        <f t="shared" si="3"/>
        <v>0.89381714744945429</v>
      </c>
    </row>
    <row r="15" spans="1:15" ht="17.25" customHeight="1">
      <c r="A15" s="86" t="s">
        <v>1425</v>
      </c>
      <c r="B15" s="145">
        <v>1212471</v>
      </c>
      <c r="C15" s="646">
        <v>1218356</v>
      </c>
      <c r="D15" s="98">
        <v>1046674</v>
      </c>
      <c r="E15" s="88">
        <f t="shared" si="0"/>
        <v>0.8590871633578363</v>
      </c>
      <c r="F15" s="87">
        <v>1109992</v>
      </c>
      <c r="G15" s="88">
        <f t="shared" si="1"/>
        <v>-5.7043654368680086E-2</v>
      </c>
      <c r="H15" s="90">
        <v>2010150</v>
      </c>
      <c r="I15" s="80" t="s">
        <v>2173</v>
      </c>
      <c r="J15" s="647">
        <v>791223</v>
      </c>
      <c r="K15" s="647">
        <v>510184</v>
      </c>
      <c r="L15" s="647">
        <v>441526</v>
      </c>
      <c r="M15" s="156">
        <f t="shared" si="2"/>
        <v>0.86542502312891034</v>
      </c>
      <c r="N15" s="647">
        <v>566042</v>
      </c>
      <c r="O15" s="156">
        <f t="shared" si="3"/>
        <v>-0.21997660950954168</v>
      </c>
    </row>
    <row r="16" spans="1:15" ht="17.25" customHeight="1">
      <c r="A16" s="76" t="s">
        <v>1101</v>
      </c>
      <c r="B16" s="586">
        <v>4199605</v>
      </c>
      <c r="C16" s="650">
        <v>4314546</v>
      </c>
      <c r="D16" s="99">
        <v>4546228</v>
      </c>
      <c r="E16" s="78">
        <f t="shared" si="0"/>
        <v>1.053697886173887</v>
      </c>
      <c r="F16" s="77">
        <v>3278928</v>
      </c>
      <c r="G16" s="78">
        <f t="shared" si="1"/>
        <v>0.38649827016634708</v>
      </c>
      <c r="H16" s="90">
        <v>2010199</v>
      </c>
      <c r="I16" s="80" t="s">
        <v>2174</v>
      </c>
      <c r="J16" s="647">
        <v>3849126</v>
      </c>
      <c r="K16" s="647">
        <v>10516588</v>
      </c>
      <c r="L16" s="647">
        <v>10445932</v>
      </c>
      <c r="M16" s="156">
        <f t="shared" si="2"/>
        <v>0.9932814711387381</v>
      </c>
      <c r="N16" s="647">
        <v>2938739</v>
      </c>
      <c r="O16" s="156">
        <f t="shared" si="3"/>
        <v>2.5545626882822869</v>
      </c>
    </row>
    <row r="17" spans="1:15" ht="17.25" customHeight="1">
      <c r="A17" s="86" t="s">
        <v>1427</v>
      </c>
      <c r="B17" s="148">
        <v>1870230</v>
      </c>
      <c r="C17" s="646">
        <v>1869730</v>
      </c>
      <c r="D17" s="100">
        <v>1562019</v>
      </c>
      <c r="E17" s="88">
        <f t="shared" si="0"/>
        <v>0.83542490092152344</v>
      </c>
      <c r="F17" s="87">
        <v>487301</v>
      </c>
      <c r="G17" s="88">
        <f t="shared" si="1"/>
        <v>2.2054500195977433</v>
      </c>
      <c r="H17" s="90">
        <v>20102</v>
      </c>
      <c r="I17" s="80" t="s">
        <v>2175</v>
      </c>
      <c r="J17" s="647">
        <v>1066691</v>
      </c>
      <c r="K17" s="647">
        <v>1469983</v>
      </c>
      <c r="L17" s="647">
        <v>1305503</v>
      </c>
      <c r="M17" s="156">
        <f t="shared" si="2"/>
        <v>0.8881075495430899</v>
      </c>
      <c r="N17" s="647">
        <v>1057425</v>
      </c>
      <c r="O17" s="156">
        <f t="shared" si="3"/>
        <v>0.23460576400217503</v>
      </c>
    </row>
    <row r="18" spans="1:15" ht="17.25" customHeight="1">
      <c r="A18" s="86" t="s">
        <v>1428</v>
      </c>
      <c r="B18" s="148">
        <v>761153</v>
      </c>
      <c r="C18" s="651">
        <v>703748</v>
      </c>
      <c r="D18" s="101">
        <v>438659</v>
      </c>
      <c r="E18" s="88">
        <f t="shared" si="0"/>
        <v>0.62331829006974082</v>
      </c>
      <c r="F18" s="87">
        <v>910550</v>
      </c>
      <c r="G18" s="88">
        <f t="shared" si="1"/>
        <v>-0.51824831146010653</v>
      </c>
      <c r="H18" s="90">
        <v>2010201</v>
      </c>
      <c r="I18" s="80" t="s">
        <v>2176</v>
      </c>
      <c r="J18" s="647">
        <v>671347</v>
      </c>
      <c r="K18" s="647">
        <v>581658</v>
      </c>
      <c r="L18" s="647">
        <v>522246</v>
      </c>
      <c r="M18" s="156">
        <f t="shared" si="2"/>
        <v>0.89785750389404084</v>
      </c>
      <c r="N18" s="647">
        <v>276071</v>
      </c>
      <c r="O18" s="156">
        <f t="shared" si="3"/>
        <v>0.89170901688333792</v>
      </c>
    </row>
    <row r="19" spans="1:15" ht="17.25" customHeight="1">
      <c r="A19" s="86" t="s">
        <v>1429</v>
      </c>
      <c r="B19" s="148">
        <v>227573</v>
      </c>
      <c r="C19" s="646">
        <v>236749</v>
      </c>
      <c r="D19" s="98">
        <v>303057</v>
      </c>
      <c r="E19" s="88">
        <f t="shared" si="0"/>
        <v>1.2800772125753435</v>
      </c>
      <c r="F19" s="87">
        <v>267880</v>
      </c>
      <c r="G19" s="88">
        <f t="shared" si="1"/>
        <v>0.13131626101239369</v>
      </c>
      <c r="H19" s="90">
        <v>2010202</v>
      </c>
      <c r="I19" s="80" t="s">
        <v>2177</v>
      </c>
      <c r="J19" s="647">
        <v>50534</v>
      </c>
      <c r="K19" s="649">
        <v>506284</v>
      </c>
      <c r="L19" s="649">
        <v>504228</v>
      </c>
      <c r="M19" s="156">
        <f t="shared" si="2"/>
        <v>0.99593903816830076</v>
      </c>
      <c r="N19" s="649">
        <v>51218</v>
      </c>
      <c r="O19" s="156">
        <f t="shared" si="3"/>
        <v>8.8447420828614938</v>
      </c>
    </row>
    <row r="20" spans="1:15" ht="17.25" customHeight="1">
      <c r="A20" s="86" t="s">
        <v>1430</v>
      </c>
      <c r="B20" s="148"/>
      <c r="C20" s="87"/>
      <c r="D20" s="87">
        <v>10088</v>
      </c>
      <c r="E20" s="88"/>
      <c r="F20" s="87">
        <v>6311</v>
      </c>
      <c r="G20" s="88">
        <f t="shared" si="1"/>
        <v>0.59847884645856442</v>
      </c>
      <c r="H20" s="90">
        <v>2010203</v>
      </c>
      <c r="I20" s="80" t="s">
        <v>2178</v>
      </c>
      <c r="J20" s="647">
        <v>194811</v>
      </c>
      <c r="K20" s="647">
        <v>385967</v>
      </c>
      <c r="L20" s="652">
        <v>385388</v>
      </c>
      <c r="M20" s="156">
        <f t="shared" si="2"/>
        <v>0.99849987175069366</v>
      </c>
      <c r="N20" s="647">
        <v>161504</v>
      </c>
      <c r="O20" s="156">
        <f t="shared" si="3"/>
        <v>1.3862443035466612</v>
      </c>
    </row>
    <row r="21" spans="1:15" ht="17.25" customHeight="1">
      <c r="A21" s="86" t="s">
        <v>1452</v>
      </c>
      <c r="B21" s="148">
        <v>266615</v>
      </c>
      <c r="C21" s="646">
        <v>273317</v>
      </c>
      <c r="D21" s="87">
        <v>716379</v>
      </c>
      <c r="E21" s="88">
        <f t="shared" si="0"/>
        <v>2.6210554045302707</v>
      </c>
      <c r="F21" s="87">
        <v>304786</v>
      </c>
      <c r="G21" s="88">
        <f t="shared" si="1"/>
        <v>1.3504327626597021</v>
      </c>
      <c r="H21" s="90">
        <v>2010204</v>
      </c>
      <c r="I21" s="80" t="s">
        <v>2179</v>
      </c>
      <c r="J21" s="647">
        <v>107256</v>
      </c>
      <c r="K21" s="648">
        <v>317577</v>
      </c>
      <c r="L21" s="653">
        <v>308040</v>
      </c>
      <c r="M21" s="156">
        <f t="shared" si="2"/>
        <v>0.96996948771479041</v>
      </c>
      <c r="N21" s="649">
        <v>67892</v>
      </c>
      <c r="O21" s="156">
        <f t="shared" si="3"/>
        <v>3.5372061509456199</v>
      </c>
    </row>
    <row r="22" spans="1:15" ht="17.25" customHeight="1">
      <c r="A22" s="86" t="s">
        <v>1431</v>
      </c>
      <c r="B22" s="148">
        <v>1074034</v>
      </c>
      <c r="C22" s="646">
        <v>1231002</v>
      </c>
      <c r="D22" s="87">
        <v>1516026</v>
      </c>
      <c r="E22" s="88">
        <f t="shared" si="0"/>
        <v>1.2315382103359702</v>
      </c>
      <c r="F22" s="87">
        <v>1302100</v>
      </c>
      <c r="G22" s="88">
        <f t="shared" si="1"/>
        <v>0.16429306504876728</v>
      </c>
      <c r="H22" s="90">
        <v>2010205</v>
      </c>
      <c r="I22" s="80" t="s">
        <v>2180</v>
      </c>
      <c r="J22" s="647">
        <v>766445</v>
      </c>
      <c r="K22" s="648">
        <v>1420214</v>
      </c>
      <c r="L22" s="647">
        <v>1371639</v>
      </c>
      <c r="M22" s="156">
        <f t="shared" si="2"/>
        <v>0.96579740799625968</v>
      </c>
      <c r="N22" s="649">
        <v>1040211</v>
      </c>
      <c r="O22" s="156">
        <f t="shared" si="3"/>
        <v>0.31861612692040375</v>
      </c>
    </row>
    <row r="23" spans="1:15" ht="17.25" customHeight="1">
      <c r="A23" s="161"/>
      <c r="B23" s="587"/>
      <c r="C23" s="587"/>
      <c r="D23" s="587"/>
      <c r="E23" s="156"/>
      <c r="F23" s="587"/>
      <c r="G23" s="156"/>
      <c r="H23" s="90">
        <v>2010206</v>
      </c>
      <c r="I23" s="80" t="s">
        <v>2181</v>
      </c>
      <c r="J23" s="647">
        <v>92373</v>
      </c>
      <c r="K23" s="649">
        <v>149983</v>
      </c>
      <c r="L23" s="647">
        <v>143879</v>
      </c>
      <c r="M23" s="156">
        <f t="shared" si="2"/>
        <v>0.95930205423281301</v>
      </c>
      <c r="N23" s="647">
        <v>37172</v>
      </c>
      <c r="O23" s="156">
        <f t="shared" si="3"/>
        <v>2.870628430001076</v>
      </c>
    </row>
    <row r="24" spans="1:15" ht="17.25" customHeight="1">
      <c r="A24" s="86"/>
      <c r="B24" s="94"/>
      <c r="C24" s="94"/>
      <c r="D24" s="93"/>
      <c r="E24" s="88"/>
      <c r="F24" s="93"/>
      <c r="G24" s="88"/>
      <c r="H24" s="90">
        <v>2010250</v>
      </c>
      <c r="I24" s="80" t="s">
        <v>2182</v>
      </c>
      <c r="J24" s="647">
        <v>634900</v>
      </c>
      <c r="K24" s="649">
        <v>0</v>
      </c>
      <c r="L24" s="652">
        <v>0</v>
      </c>
      <c r="M24" s="156" t="str">
        <f t="shared" si="2"/>
        <v/>
      </c>
      <c r="N24" s="654"/>
      <c r="O24" s="156" t="str">
        <f t="shared" si="3"/>
        <v/>
      </c>
    </row>
    <row r="25" spans="1:15" ht="17.25" customHeight="1">
      <c r="A25" s="86"/>
      <c r="B25" s="94"/>
      <c r="C25" s="94"/>
      <c r="D25" s="93"/>
      <c r="E25" s="88"/>
      <c r="F25" s="93"/>
      <c r="G25" s="88"/>
      <c r="H25" s="90">
        <v>2010299</v>
      </c>
      <c r="I25" s="80" t="s">
        <v>2183</v>
      </c>
      <c r="J25" s="647">
        <v>9726903</v>
      </c>
      <c r="K25" s="655">
        <v>2766137</v>
      </c>
      <c r="L25" s="655">
        <v>2671595</v>
      </c>
      <c r="M25" s="156">
        <f t="shared" si="2"/>
        <v>0.96582164947000093</v>
      </c>
      <c r="N25" s="647">
        <v>1003826</v>
      </c>
      <c r="O25" s="156">
        <f t="shared" si="3"/>
        <v>1.6614124360197882</v>
      </c>
    </row>
    <row r="26" spans="1:15" ht="17.25" customHeight="1">
      <c r="A26" s="161"/>
      <c r="B26" s="587"/>
      <c r="C26" s="587"/>
      <c r="D26" s="587"/>
      <c r="E26" s="88"/>
      <c r="F26" s="587"/>
      <c r="G26" s="156"/>
      <c r="H26" s="90">
        <v>20103</v>
      </c>
      <c r="I26" s="80" t="s">
        <v>2184</v>
      </c>
      <c r="J26" s="647">
        <v>48000</v>
      </c>
      <c r="K26" s="647">
        <v>44382</v>
      </c>
      <c r="L26" s="647">
        <v>44382</v>
      </c>
      <c r="M26" s="156">
        <f t="shared" si="2"/>
        <v>1</v>
      </c>
      <c r="N26" s="654">
        <v>533478</v>
      </c>
      <c r="O26" s="156">
        <f t="shared" si="3"/>
        <v>-0.91680631628670728</v>
      </c>
    </row>
    <row r="27" spans="1:15" ht="17.25" customHeight="1">
      <c r="A27" s="161"/>
      <c r="B27" s="587"/>
      <c r="C27" s="587"/>
      <c r="D27" s="587"/>
      <c r="E27" s="156"/>
      <c r="F27" s="587"/>
      <c r="G27" s="156"/>
      <c r="H27" s="90">
        <v>2010301</v>
      </c>
      <c r="I27" s="80" t="s">
        <v>2185</v>
      </c>
      <c r="J27" s="87"/>
      <c r="K27" s="647">
        <v>0</v>
      </c>
      <c r="L27" s="647">
        <v>0</v>
      </c>
      <c r="M27" s="156"/>
      <c r="N27" s="87"/>
      <c r="O27" s="156"/>
    </row>
    <row r="28" spans="1:15" ht="17.25" customHeight="1">
      <c r="A28" s="161"/>
      <c r="B28" s="587"/>
      <c r="C28" s="587"/>
      <c r="D28" s="587"/>
      <c r="E28" s="156"/>
      <c r="F28" s="587"/>
      <c r="G28" s="156"/>
      <c r="H28" s="90">
        <v>2010302</v>
      </c>
      <c r="I28" s="90"/>
      <c r="J28" s="87"/>
      <c r="K28" s="87"/>
      <c r="L28" s="87"/>
      <c r="M28" s="156"/>
      <c r="N28" s="87"/>
      <c r="O28" s="156"/>
    </row>
    <row r="29" spans="1:15" s="19" customFormat="1" ht="17.25" customHeight="1">
      <c r="A29" s="127" t="s">
        <v>1009</v>
      </c>
      <c r="B29" s="584">
        <f>+B4+B16</f>
        <v>23935464</v>
      </c>
      <c r="C29" s="584">
        <f>+C4+C16</f>
        <v>24159905</v>
      </c>
      <c r="D29" s="77">
        <v>27268543</v>
      </c>
      <c r="E29" s="78">
        <f>+D29/C29</f>
        <v>1.1286692973337435</v>
      </c>
      <c r="F29" s="123">
        <v>20827326</v>
      </c>
      <c r="G29" s="78">
        <f>+D29/F29-1</f>
        <v>0.30926759392924463</v>
      </c>
      <c r="H29" s="164"/>
      <c r="I29" s="127" t="s">
        <v>1098</v>
      </c>
      <c r="J29" s="600">
        <f>SUM(J4:J27)</f>
        <v>34705226</v>
      </c>
      <c r="K29" s="600">
        <f t="shared" ref="K29:N29" si="4">SUM(K4:K27)</f>
        <v>37438497</v>
      </c>
      <c r="L29" s="600">
        <f t="shared" si="4"/>
        <v>35216708</v>
      </c>
      <c r="M29" s="164">
        <v>0.96679389830835261</v>
      </c>
      <c r="N29" s="600">
        <f t="shared" si="4"/>
        <v>21661841</v>
      </c>
      <c r="O29" s="164">
        <f>+L29/N29-1</f>
        <v>0.6257486148107172</v>
      </c>
    </row>
    <row r="30" spans="1:15" ht="17.25" customHeight="1">
      <c r="A30" s="127"/>
      <c r="B30" s="93"/>
      <c r="C30" s="93"/>
      <c r="D30" s="93"/>
      <c r="E30" s="88"/>
      <c r="F30" s="93"/>
      <c r="G30" s="88"/>
      <c r="H30" s="156"/>
      <c r="I30" s="127"/>
      <c r="J30" s="94"/>
      <c r="K30" s="94"/>
      <c r="L30" s="156"/>
      <c r="M30" s="156"/>
      <c r="N30" s="156"/>
      <c r="O30" s="156"/>
    </row>
    <row r="31" spans="1:15" s="19" customFormat="1" ht="17.25" customHeight="1">
      <c r="A31" s="588" t="s">
        <v>1104</v>
      </c>
      <c r="B31" s="123">
        <f>SUM(B32:B37)</f>
        <v>14398490</v>
      </c>
      <c r="C31" s="123">
        <f>SUM(C32:C37)</f>
        <v>21484664</v>
      </c>
      <c r="D31" s="123">
        <f>SUM(D32:D37)</f>
        <v>21937891</v>
      </c>
      <c r="E31" s="589">
        <f t="shared" ref="E31:E37" si="5">+D31/C31</f>
        <v>1.0210953729599868</v>
      </c>
      <c r="F31" s="123">
        <f>+SUM(F32:F37)</f>
        <v>6284684</v>
      </c>
      <c r="G31" s="589">
        <f t="shared" ref="G31:G37" si="6">+D31/F31-1</f>
        <v>2.490691178745025</v>
      </c>
      <c r="H31" s="164"/>
      <c r="I31" s="590" t="s">
        <v>1105</v>
      </c>
      <c r="J31" s="123">
        <f>SUM(J32:J38)</f>
        <v>3628728</v>
      </c>
      <c r="K31" s="123">
        <f>SUM(K32:K38)</f>
        <v>8206072</v>
      </c>
      <c r="L31" s="123">
        <f>SUM(L32:L38)</f>
        <v>13989726</v>
      </c>
      <c r="M31" s="589">
        <f t="shared" ref="M31:M38" si="7">+L31/K31</f>
        <v>1.7048017614273918</v>
      </c>
      <c r="N31" s="129">
        <f>+SUM(N32:N38)</f>
        <v>5450169</v>
      </c>
      <c r="O31" s="164">
        <f>+L31/N31-1</f>
        <v>1.5668426061650567</v>
      </c>
    </row>
    <row r="32" spans="1:15" ht="17.25" customHeight="1">
      <c r="A32" s="591" t="s">
        <v>1436</v>
      </c>
      <c r="B32" s="136">
        <v>1437500</v>
      </c>
      <c r="C32" s="136">
        <v>1437500</v>
      </c>
      <c r="D32" s="87">
        <v>1758010</v>
      </c>
      <c r="E32" s="592">
        <f t="shared" si="5"/>
        <v>1.2229634782608696</v>
      </c>
      <c r="F32" s="87">
        <v>1746216</v>
      </c>
      <c r="G32" s="592">
        <f t="shared" si="6"/>
        <v>6.7540327198927219E-3</v>
      </c>
      <c r="H32" s="156"/>
      <c r="I32" s="132" t="s">
        <v>1439</v>
      </c>
      <c r="J32" s="93">
        <v>900000</v>
      </c>
      <c r="K32" s="93">
        <v>900000</v>
      </c>
      <c r="L32" s="87">
        <v>770057</v>
      </c>
      <c r="M32" s="592">
        <f t="shared" si="7"/>
        <v>0.85561888888888893</v>
      </c>
      <c r="N32" s="87">
        <v>660239</v>
      </c>
      <c r="O32" s="156">
        <f>+L32/N32-1</f>
        <v>0.16633067722445971</v>
      </c>
    </row>
    <row r="33" spans="1:15" ht="17.25" customHeight="1">
      <c r="A33" s="591" t="s">
        <v>1438</v>
      </c>
      <c r="B33" s="93">
        <v>70000</v>
      </c>
      <c r="C33" s="93">
        <v>70000</v>
      </c>
      <c r="D33" s="146">
        <v>202716</v>
      </c>
      <c r="E33" s="592">
        <f t="shared" si="5"/>
        <v>2.8959428571428569</v>
      </c>
      <c r="F33" s="87">
        <v>162788</v>
      </c>
      <c r="G33" s="592">
        <f t="shared" si="6"/>
        <v>0.24527606457478446</v>
      </c>
      <c r="H33" s="156"/>
      <c r="I33" s="132" t="s">
        <v>1441</v>
      </c>
      <c r="J33" s="93">
        <v>950000</v>
      </c>
      <c r="K33" s="93">
        <v>950000</v>
      </c>
      <c r="L33" s="87">
        <v>940904</v>
      </c>
      <c r="M33" s="592">
        <f t="shared" si="7"/>
        <v>0.9904252631578947</v>
      </c>
      <c r="N33" s="87">
        <v>677910</v>
      </c>
      <c r="O33" s="156">
        <f>+L33/N33-1</f>
        <v>0.38794825271791233</v>
      </c>
    </row>
    <row r="34" spans="1:15" ht="17.25" customHeight="1">
      <c r="A34" s="591" t="s">
        <v>1442</v>
      </c>
      <c r="B34" s="142"/>
      <c r="C34" s="142"/>
      <c r="D34" s="93"/>
      <c r="E34" s="592"/>
      <c r="F34" s="93">
        <v>420000</v>
      </c>
      <c r="G34" s="592">
        <f t="shared" si="6"/>
        <v>-1</v>
      </c>
      <c r="H34" s="156"/>
      <c r="I34" s="132" t="s">
        <v>1443</v>
      </c>
      <c r="J34" s="87">
        <v>70000</v>
      </c>
      <c r="K34" s="93">
        <v>70000</v>
      </c>
      <c r="L34" s="87">
        <v>70000</v>
      </c>
      <c r="M34" s="592">
        <f t="shared" si="7"/>
        <v>1</v>
      </c>
      <c r="N34" s="87">
        <v>110000</v>
      </c>
      <c r="O34" s="156">
        <f>+L34/N34-1</f>
        <v>-0.36363636363636365</v>
      </c>
    </row>
    <row r="35" spans="1:15" ht="17.25" customHeight="1">
      <c r="A35" s="591" t="s">
        <v>1444</v>
      </c>
      <c r="B35" s="87">
        <v>2341000</v>
      </c>
      <c r="C35" s="87">
        <v>3310073</v>
      </c>
      <c r="D35" s="87">
        <v>3310073</v>
      </c>
      <c r="E35" s="592">
        <f t="shared" si="5"/>
        <v>1</v>
      </c>
      <c r="F35" s="87">
        <v>1389300</v>
      </c>
      <c r="G35" s="592">
        <f t="shared" si="6"/>
        <v>1.3825473259915064</v>
      </c>
      <c r="H35" s="156"/>
      <c r="I35" s="134" t="s">
        <v>1447</v>
      </c>
      <c r="J35" s="93">
        <v>800000</v>
      </c>
      <c r="K35" s="93">
        <f>3469101+800000</f>
        <v>4269101</v>
      </c>
      <c r="L35" s="87">
        <v>9395424</v>
      </c>
      <c r="M35" s="592">
        <f t="shared" si="7"/>
        <v>2.2007968422391504</v>
      </c>
      <c r="N35" s="87">
        <v>2929946</v>
      </c>
      <c r="O35" s="156">
        <f>+L35/N35-1</f>
        <v>2.2066884509134299</v>
      </c>
    </row>
    <row r="36" spans="1:15" ht="17.25" customHeight="1">
      <c r="A36" s="591" t="s">
        <v>1446</v>
      </c>
      <c r="B36" s="136">
        <v>9461693</v>
      </c>
      <c r="C36" s="87">
        <v>15578794</v>
      </c>
      <c r="D36" s="87">
        <v>15578794</v>
      </c>
      <c r="E36" s="592">
        <f t="shared" si="5"/>
        <v>1</v>
      </c>
      <c r="F36" s="87">
        <v>1504339</v>
      </c>
      <c r="G36" s="592">
        <f t="shared" si="6"/>
        <v>9.3559064811854249</v>
      </c>
      <c r="H36" s="156"/>
      <c r="I36" s="132" t="s">
        <v>1453</v>
      </c>
      <c r="J36" s="93"/>
      <c r="K36" s="93">
        <v>62</v>
      </c>
      <c r="L36" s="87">
        <v>62</v>
      </c>
      <c r="M36" s="592">
        <f t="shared" si="7"/>
        <v>1</v>
      </c>
      <c r="N36" s="592"/>
      <c r="O36" s="156"/>
    </row>
    <row r="37" spans="1:15" ht="17.25" customHeight="1">
      <c r="A37" s="591" t="s">
        <v>1448</v>
      </c>
      <c r="B37" s="136">
        <v>1088297</v>
      </c>
      <c r="C37" s="136">
        <v>1088297</v>
      </c>
      <c r="D37" s="87">
        <v>1088298</v>
      </c>
      <c r="E37" s="592">
        <f t="shared" si="5"/>
        <v>1.0000009188668166</v>
      </c>
      <c r="F37" s="87">
        <v>1062041</v>
      </c>
      <c r="G37" s="592">
        <f t="shared" si="6"/>
        <v>2.4723150989462761E-2</v>
      </c>
      <c r="H37" s="156"/>
      <c r="I37" s="134" t="s">
        <v>1449</v>
      </c>
      <c r="J37" s="93">
        <v>0</v>
      </c>
      <c r="K37" s="93">
        <v>240000</v>
      </c>
      <c r="L37" s="87">
        <v>238860</v>
      </c>
      <c r="M37" s="592">
        <f t="shared" si="7"/>
        <v>0.99524999999999997</v>
      </c>
      <c r="N37" s="147">
        <v>-11000</v>
      </c>
      <c r="O37" s="156"/>
    </row>
    <row r="38" spans="1:15" ht="17.25" customHeight="1">
      <c r="A38" s="591"/>
      <c r="B38" s="136"/>
      <c r="C38" s="93"/>
      <c r="D38" s="87"/>
      <c r="E38" s="592"/>
      <c r="F38" s="87"/>
      <c r="G38" s="592"/>
      <c r="H38" s="593"/>
      <c r="I38" s="134" t="s">
        <v>1450</v>
      </c>
      <c r="J38" s="93">
        <f>848186+19042+41500</f>
        <v>908728</v>
      </c>
      <c r="K38" s="93">
        <f>4564564-2941107-575559-62-240000+969073</f>
        <v>1776909</v>
      </c>
      <c r="L38" s="87">
        <v>2574419</v>
      </c>
      <c r="M38" s="592">
        <f t="shared" si="7"/>
        <v>1.4488187070919221</v>
      </c>
      <c r="N38" s="87">
        <v>1083074</v>
      </c>
      <c r="O38" s="156">
        <f>+L38/N38-1</f>
        <v>1.3769557758749631</v>
      </c>
    </row>
    <row r="39" spans="1:15" ht="17.25" customHeight="1">
      <c r="A39" s="588"/>
      <c r="B39" s="93"/>
      <c r="C39" s="93"/>
      <c r="D39" s="93"/>
      <c r="E39" s="592"/>
      <c r="F39" s="93"/>
      <c r="G39" s="592"/>
      <c r="H39" s="593"/>
      <c r="I39" s="134" t="s">
        <v>1454</v>
      </c>
      <c r="J39" s="93">
        <v>828518</v>
      </c>
      <c r="K39" s="93">
        <v>800000</v>
      </c>
      <c r="L39" s="87">
        <v>786501</v>
      </c>
      <c r="M39" s="592"/>
      <c r="N39" s="87">
        <v>531110</v>
      </c>
      <c r="O39" s="156"/>
    </row>
    <row r="40" spans="1:15" ht="17.25" customHeight="1">
      <c r="A40" s="588"/>
      <c r="B40" s="93"/>
      <c r="C40" s="93"/>
      <c r="D40" s="93"/>
      <c r="E40" s="592"/>
      <c r="F40" s="93"/>
      <c r="G40" s="592"/>
      <c r="H40" s="593"/>
      <c r="I40" s="134"/>
      <c r="J40" s="93"/>
      <c r="K40" s="93"/>
      <c r="L40" s="87"/>
      <c r="M40" s="592"/>
      <c r="N40" s="87"/>
      <c r="O40" s="156"/>
    </row>
    <row r="41" spans="1:15" s="19" customFormat="1" ht="19.149999999999999" customHeight="1">
      <c r="A41" s="125" t="s">
        <v>1106</v>
      </c>
      <c r="B41" s="123">
        <f>+B29+B31</f>
        <v>38333954</v>
      </c>
      <c r="C41" s="123">
        <f>+C31+C29</f>
        <v>45644569</v>
      </c>
      <c r="D41" s="123">
        <f>+D29+D31</f>
        <v>49206434</v>
      </c>
      <c r="E41" s="149">
        <f>+D41/C41</f>
        <v>1.0780348040968466</v>
      </c>
      <c r="F41" s="123">
        <f>+F29+F31</f>
        <v>27112010</v>
      </c>
      <c r="G41" s="149">
        <f>+D41/F41-1</f>
        <v>0.8149312426485531</v>
      </c>
      <c r="H41" s="594"/>
      <c r="I41" s="138" t="s">
        <v>1107</v>
      </c>
      <c r="J41" s="123">
        <f>+J29+J31</f>
        <v>38333954</v>
      </c>
      <c r="K41" s="123">
        <f>+K29+K31</f>
        <v>45644569</v>
      </c>
      <c r="L41" s="123">
        <f>+L29+L31</f>
        <v>49206434</v>
      </c>
      <c r="M41" s="589">
        <f>+L41/K41</f>
        <v>1.0780348040968466</v>
      </c>
      <c r="N41" s="77">
        <f>+N29+N31</f>
        <v>27112010</v>
      </c>
      <c r="O41" s="164">
        <f>+L41/N41-1</f>
        <v>0.8149312426485531</v>
      </c>
    </row>
    <row r="43" spans="1:15">
      <c r="A43" s="599"/>
      <c r="J43" s="585">
        <f>+B41-J41</f>
        <v>0</v>
      </c>
    </row>
    <row r="44" spans="1:15">
      <c r="A44" s="599"/>
      <c r="B44" s="595">
        <f>+B41-B29-B31</f>
        <v>0</v>
      </c>
      <c r="C44" s="595">
        <f>+C41-C29-C31</f>
        <v>0</v>
      </c>
      <c r="D44" s="595">
        <f>+D41-D29-D31</f>
        <v>0</v>
      </c>
      <c r="F44" s="595">
        <f>+F41-F29-F31</f>
        <v>0</v>
      </c>
      <c r="I44" s="599"/>
    </row>
    <row r="45" spans="1:15">
      <c r="A45" s="599"/>
      <c r="B45" s="595">
        <f>+B4+B16-B29</f>
        <v>0</v>
      </c>
      <c r="C45" s="595">
        <f>+C4+C16-C29</f>
        <v>0</v>
      </c>
      <c r="D45" s="595">
        <f>+D4+D16-D29</f>
        <v>0</v>
      </c>
      <c r="F45" s="595">
        <f>+F4+F16-F29</f>
        <v>0</v>
      </c>
      <c r="I45" s="599"/>
      <c r="J45" s="585">
        <f>+J29+J31-J41</f>
        <v>0</v>
      </c>
      <c r="K45" s="585">
        <f>+K29+K31-K41</f>
        <v>0</v>
      </c>
      <c r="L45" s="585">
        <f>+L29+L31-L41</f>
        <v>0</v>
      </c>
      <c r="N45" s="585">
        <f>+N29+N31-N41</f>
        <v>0</v>
      </c>
    </row>
    <row r="46" spans="1:15">
      <c r="A46" s="599"/>
      <c r="B46" s="595">
        <f>+B4-SUM(B5:B15)</f>
        <v>0</v>
      </c>
      <c r="C46" s="595">
        <f>+C4-SUM(C5:C15)</f>
        <v>0</v>
      </c>
      <c r="D46" s="595">
        <f>+D4-SUM(D5:D15)</f>
        <v>0</v>
      </c>
      <c r="F46" s="595">
        <f>+F4-SUM(F5:F15)</f>
        <v>0</v>
      </c>
      <c r="I46" s="599"/>
      <c r="J46" s="585">
        <f>J29-SUM(J4:J27)</f>
        <v>0</v>
      </c>
      <c r="K46" s="585">
        <f>K29-SUM(K4:K27)</f>
        <v>0</v>
      </c>
      <c r="L46" s="585">
        <f>L29-SUM(L4:L27)</f>
        <v>0</v>
      </c>
      <c r="N46" s="585">
        <f>N29-SUM(N4:N27)</f>
        <v>0</v>
      </c>
    </row>
    <row r="47" spans="1:15">
      <c r="A47" s="599"/>
      <c r="B47" s="595">
        <f>+B16-SUM(B17:B22)</f>
        <v>0</v>
      </c>
      <c r="C47" s="595">
        <f>+C16-SUM(C17:C22)</f>
        <v>0</v>
      </c>
      <c r="D47" s="595">
        <f>+D16-SUM(D17:D22)</f>
        <v>0</v>
      </c>
      <c r="F47" s="595">
        <f>+F16-SUM(F17:F22)</f>
        <v>0</v>
      </c>
      <c r="I47" s="599"/>
      <c r="J47" s="585">
        <f>+J31-SUM(J32:J38)</f>
        <v>0</v>
      </c>
      <c r="K47" s="585">
        <f>+K31-SUM(K32:K38)</f>
        <v>0</v>
      </c>
      <c r="L47" s="585">
        <f>+L31-SUM(L32:L38)</f>
        <v>0</v>
      </c>
      <c r="N47" s="585">
        <f>+N31-SUM(N32:N38)</f>
        <v>0</v>
      </c>
    </row>
    <row r="48" spans="1:15">
      <c r="A48" s="599"/>
      <c r="B48" s="595">
        <f>+B31-SUM(B32:B37)</f>
        <v>0</v>
      </c>
      <c r="C48" s="595">
        <f>+C31-SUM(C32:C37)</f>
        <v>0</v>
      </c>
      <c r="D48" s="595">
        <f>+D31-SUM(D32:D37)</f>
        <v>0</v>
      </c>
      <c r="F48" s="595">
        <f>+F31-SUM(F32:F37)</f>
        <v>0</v>
      </c>
      <c r="I48" s="599"/>
      <c r="J48" s="585">
        <f>+B41-J41</f>
        <v>0</v>
      </c>
      <c r="K48" s="585">
        <f>+C41-K41</f>
        <v>0</v>
      </c>
      <c r="L48" s="585">
        <f>+D41-L41</f>
        <v>0</v>
      </c>
      <c r="N48" s="585">
        <f>+F41-N41</f>
        <v>0</v>
      </c>
    </row>
  </sheetData>
  <mergeCells count="1">
    <mergeCell ref="A1:O1"/>
  </mergeCells>
  <phoneticPr fontId="23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90" orientation="landscape" r:id="rId1"/>
  <headerFooter alignWithMargins="0">
    <oddFooter>第 &amp;P 页，共 &amp;N 页</oddFooter>
  </headerFooter>
  <ignoredErrors>
    <ignoredError sqref="E41 E31" formula="1"/>
    <ignoredError sqref="J47 N47 L47" formulaRange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>
      <pane xSplit="1" ySplit="5" topLeftCell="B6" activePane="bottomRight" state="frozen"/>
      <selection activeCell="A3" sqref="A3:M3"/>
      <selection pane="topRight" activeCell="A3" sqref="A3:M3"/>
      <selection pane="bottomLeft" activeCell="A3" sqref="A3:M3"/>
      <selection pane="bottomRight" activeCell="C6" sqref="C6"/>
    </sheetView>
  </sheetViews>
  <sheetFormatPr defaultRowHeight="14.25" customHeight="1"/>
  <cols>
    <col min="1" max="1" width="21.375" style="340" customWidth="1"/>
    <col min="2" max="5" width="12.5" style="340" customWidth="1"/>
    <col min="6" max="7" width="9.125" style="340" bestFit="1" customWidth="1"/>
    <col min="8" max="9" width="11.75" style="340" bestFit="1" customWidth="1"/>
    <col min="10" max="13" width="11" style="340" bestFit="1" customWidth="1"/>
    <col min="14" max="15" width="11.75" style="340" bestFit="1" customWidth="1"/>
    <col min="16" max="17" width="11" style="340" bestFit="1" customWidth="1"/>
    <col min="18" max="256" width="9" style="340"/>
    <col min="257" max="257" width="21.375" style="340" customWidth="1"/>
    <col min="258" max="261" width="12.5" style="340" customWidth="1"/>
    <col min="262" max="263" width="9.125" style="340" bestFit="1" customWidth="1"/>
    <col min="264" max="265" width="11.75" style="340" bestFit="1" customWidth="1"/>
    <col min="266" max="269" width="11" style="340" bestFit="1" customWidth="1"/>
    <col min="270" max="271" width="11.75" style="340" bestFit="1" customWidth="1"/>
    <col min="272" max="273" width="11" style="340" bestFit="1" customWidth="1"/>
    <col min="274" max="512" width="9" style="340"/>
    <col min="513" max="513" width="21.375" style="340" customWidth="1"/>
    <col min="514" max="517" width="12.5" style="340" customWidth="1"/>
    <col min="518" max="519" width="9.125" style="340" bestFit="1" customWidth="1"/>
    <col min="520" max="521" width="11.75" style="340" bestFit="1" customWidth="1"/>
    <col min="522" max="525" width="11" style="340" bestFit="1" customWidth="1"/>
    <col min="526" max="527" width="11.75" style="340" bestFit="1" customWidth="1"/>
    <col min="528" max="529" width="11" style="340" bestFit="1" customWidth="1"/>
    <col min="530" max="768" width="9" style="340"/>
    <col min="769" max="769" width="21.375" style="340" customWidth="1"/>
    <col min="770" max="773" width="12.5" style="340" customWidth="1"/>
    <col min="774" max="775" width="9.125" style="340" bestFit="1" customWidth="1"/>
    <col min="776" max="777" width="11.75" style="340" bestFit="1" customWidth="1"/>
    <col min="778" max="781" width="11" style="340" bestFit="1" customWidth="1"/>
    <col min="782" max="783" width="11.75" style="340" bestFit="1" customWidth="1"/>
    <col min="784" max="785" width="11" style="340" bestFit="1" customWidth="1"/>
    <col min="786" max="1024" width="9" style="340"/>
    <col min="1025" max="1025" width="21.375" style="340" customWidth="1"/>
    <col min="1026" max="1029" width="12.5" style="340" customWidth="1"/>
    <col min="1030" max="1031" width="9.125" style="340" bestFit="1" customWidth="1"/>
    <col min="1032" max="1033" width="11.75" style="340" bestFit="1" customWidth="1"/>
    <col min="1034" max="1037" width="11" style="340" bestFit="1" customWidth="1"/>
    <col min="1038" max="1039" width="11.75" style="340" bestFit="1" customWidth="1"/>
    <col min="1040" max="1041" width="11" style="340" bestFit="1" customWidth="1"/>
    <col min="1042" max="1280" width="9" style="340"/>
    <col min="1281" max="1281" width="21.375" style="340" customWidth="1"/>
    <col min="1282" max="1285" width="12.5" style="340" customWidth="1"/>
    <col min="1286" max="1287" width="9.125" style="340" bestFit="1" customWidth="1"/>
    <col min="1288" max="1289" width="11.75" style="340" bestFit="1" customWidth="1"/>
    <col min="1290" max="1293" width="11" style="340" bestFit="1" customWidth="1"/>
    <col min="1294" max="1295" width="11.75" style="340" bestFit="1" customWidth="1"/>
    <col min="1296" max="1297" width="11" style="340" bestFit="1" customWidth="1"/>
    <col min="1298" max="1536" width="9" style="340"/>
    <col min="1537" max="1537" width="21.375" style="340" customWidth="1"/>
    <col min="1538" max="1541" width="12.5" style="340" customWidth="1"/>
    <col min="1542" max="1543" width="9.125" style="340" bestFit="1" customWidth="1"/>
    <col min="1544" max="1545" width="11.75" style="340" bestFit="1" customWidth="1"/>
    <col min="1546" max="1549" width="11" style="340" bestFit="1" customWidth="1"/>
    <col min="1550" max="1551" width="11.75" style="340" bestFit="1" customWidth="1"/>
    <col min="1552" max="1553" width="11" style="340" bestFit="1" customWidth="1"/>
    <col min="1554" max="1792" width="9" style="340"/>
    <col min="1793" max="1793" width="21.375" style="340" customWidth="1"/>
    <col min="1794" max="1797" width="12.5" style="340" customWidth="1"/>
    <col min="1798" max="1799" width="9.125" style="340" bestFit="1" customWidth="1"/>
    <col min="1800" max="1801" width="11.75" style="340" bestFit="1" customWidth="1"/>
    <col min="1802" max="1805" width="11" style="340" bestFit="1" customWidth="1"/>
    <col min="1806" max="1807" width="11.75" style="340" bestFit="1" customWidth="1"/>
    <col min="1808" max="1809" width="11" style="340" bestFit="1" customWidth="1"/>
    <col min="1810" max="2048" width="9" style="340"/>
    <col min="2049" max="2049" width="21.375" style="340" customWidth="1"/>
    <col min="2050" max="2053" width="12.5" style="340" customWidth="1"/>
    <col min="2054" max="2055" width="9.125" style="340" bestFit="1" customWidth="1"/>
    <col min="2056" max="2057" width="11.75" style="340" bestFit="1" customWidth="1"/>
    <col min="2058" max="2061" width="11" style="340" bestFit="1" customWidth="1"/>
    <col min="2062" max="2063" width="11.75" style="340" bestFit="1" customWidth="1"/>
    <col min="2064" max="2065" width="11" style="340" bestFit="1" customWidth="1"/>
    <col min="2066" max="2304" width="9" style="340"/>
    <col min="2305" max="2305" width="21.375" style="340" customWidth="1"/>
    <col min="2306" max="2309" width="12.5" style="340" customWidth="1"/>
    <col min="2310" max="2311" width="9.125" style="340" bestFit="1" customWidth="1"/>
    <col min="2312" max="2313" width="11.75" style="340" bestFit="1" customWidth="1"/>
    <col min="2314" max="2317" width="11" style="340" bestFit="1" customWidth="1"/>
    <col min="2318" max="2319" width="11.75" style="340" bestFit="1" customWidth="1"/>
    <col min="2320" max="2321" width="11" style="340" bestFit="1" customWidth="1"/>
    <col min="2322" max="2560" width="9" style="340"/>
    <col min="2561" max="2561" width="21.375" style="340" customWidth="1"/>
    <col min="2562" max="2565" width="12.5" style="340" customWidth="1"/>
    <col min="2566" max="2567" width="9.125" style="340" bestFit="1" customWidth="1"/>
    <col min="2568" max="2569" width="11.75" style="340" bestFit="1" customWidth="1"/>
    <col min="2570" max="2573" width="11" style="340" bestFit="1" customWidth="1"/>
    <col min="2574" max="2575" width="11.75" style="340" bestFit="1" customWidth="1"/>
    <col min="2576" max="2577" width="11" style="340" bestFit="1" customWidth="1"/>
    <col min="2578" max="2816" width="9" style="340"/>
    <col min="2817" max="2817" width="21.375" style="340" customWidth="1"/>
    <col min="2818" max="2821" width="12.5" style="340" customWidth="1"/>
    <col min="2822" max="2823" width="9.125" style="340" bestFit="1" customWidth="1"/>
    <col min="2824" max="2825" width="11.75" style="340" bestFit="1" customWidth="1"/>
    <col min="2826" max="2829" width="11" style="340" bestFit="1" customWidth="1"/>
    <col min="2830" max="2831" width="11.75" style="340" bestFit="1" customWidth="1"/>
    <col min="2832" max="2833" width="11" style="340" bestFit="1" customWidth="1"/>
    <col min="2834" max="3072" width="9" style="340"/>
    <col min="3073" max="3073" width="21.375" style="340" customWidth="1"/>
    <col min="3074" max="3077" width="12.5" style="340" customWidth="1"/>
    <col min="3078" max="3079" width="9.125" style="340" bestFit="1" customWidth="1"/>
    <col min="3080" max="3081" width="11.75" style="340" bestFit="1" customWidth="1"/>
    <col min="3082" max="3085" width="11" style="340" bestFit="1" customWidth="1"/>
    <col min="3086" max="3087" width="11.75" style="340" bestFit="1" customWidth="1"/>
    <col min="3088" max="3089" width="11" style="340" bestFit="1" customWidth="1"/>
    <col min="3090" max="3328" width="9" style="340"/>
    <col min="3329" max="3329" width="21.375" style="340" customWidth="1"/>
    <col min="3330" max="3333" width="12.5" style="340" customWidth="1"/>
    <col min="3334" max="3335" width="9.125" style="340" bestFit="1" customWidth="1"/>
    <col min="3336" max="3337" width="11.75" style="340" bestFit="1" customWidth="1"/>
    <col min="3338" max="3341" width="11" style="340" bestFit="1" customWidth="1"/>
    <col min="3342" max="3343" width="11.75" style="340" bestFit="1" customWidth="1"/>
    <col min="3344" max="3345" width="11" style="340" bestFit="1" customWidth="1"/>
    <col min="3346" max="3584" width="9" style="340"/>
    <col min="3585" max="3585" width="21.375" style="340" customWidth="1"/>
    <col min="3586" max="3589" width="12.5" style="340" customWidth="1"/>
    <col min="3590" max="3591" width="9.125" style="340" bestFit="1" customWidth="1"/>
    <col min="3592" max="3593" width="11.75" style="340" bestFit="1" customWidth="1"/>
    <col min="3594" max="3597" width="11" style="340" bestFit="1" customWidth="1"/>
    <col min="3598" max="3599" width="11.75" style="340" bestFit="1" customWidth="1"/>
    <col min="3600" max="3601" width="11" style="340" bestFit="1" customWidth="1"/>
    <col min="3602" max="3840" width="9" style="340"/>
    <col min="3841" max="3841" width="21.375" style="340" customWidth="1"/>
    <col min="3842" max="3845" width="12.5" style="340" customWidth="1"/>
    <col min="3846" max="3847" width="9.125" style="340" bestFit="1" customWidth="1"/>
    <col min="3848" max="3849" width="11.75" style="340" bestFit="1" customWidth="1"/>
    <col min="3850" max="3853" width="11" style="340" bestFit="1" customWidth="1"/>
    <col min="3854" max="3855" width="11.75" style="340" bestFit="1" customWidth="1"/>
    <col min="3856" max="3857" width="11" style="340" bestFit="1" customWidth="1"/>
    <col min="3858" max="4096" width="9" style="340"/>
    <col min="4097" max="4097" width="21.375" style="340" customWidth="1"/>
    <col min="4098" max="4101" width="12.5" style="340" customWidth="1"/>
    <col min="4102" max="4103" width="9.125" style="340" bestFit="1" customWidth="1"/>
    <col min="4104" max="4105" width="11.75" style="340" bestFit="1" customWidth="1"/>
    <col min="4106" max="4109" width="11" style="340" bestFit="1" customWidth="1"/>
    <col min="4110" max="4111" width="11.75" style="340" bestFit="1" customWidth="1"/>
    <col min="4112" max="4113" width="11" style="340" bestFit="1" customWidth="1"/>
    <col min="4114" max="4352" width="9" style="340"/>
    <col min="4353" max="4353" width="21.375" style="340" customWidth="1"/>
    <col min="4354" max="4357" width="12.5" style="340" customWidth="1"/>
    <col min="4358" max="4359" width="9.125" style="340" bestFit="1" customWidth="1"/>
    <col min="4360" max="4361" width="11.75" style="340" bestFit="1" customWidth="1"/>
    <col min="4362" max="4365" width="11" style="340" bestFit="1" customWidth="1"/>
    <col min="4366" max="4367" width="11.75" style="340" bestFit="1" customWidth="1"/>
    <col min="4368" max="4369" width="11" style="340" bestFit="1" customWidth="1"/>
    <col min="4370" max="4608" width="9" style="340"/>
    <col min="4609" max="4609" width="21.375" style="340" customWidth="1"/>
    <col min="4610" max="4613" width="12.5" style="340" customWidth="1"/>
    <col min="4614" max="4615" width="9.125" style="340" bestFit="1" customWidth="1"/>
    <col min="4616" max="4617" width="11.75" style="340" bestFit="1" customWidth="1"/>
    <col min="4618" max="4621" width="11" style="340" bestFit="1" customWidth="1"/>
    <col min="4622" max="4623" width="11.75" style="340" bestFit="1" customWidth="1"/>
    <col min="4624" max="4625" width="11" style="340" bestFit="1" customWidth="1"/>
    <col min="4626" max="4864" width="9" style="340"/>
    <col min="4865" max="4865" width="21.375" style="340" customWidth="1"/>
    <col min="4866" max="4869" width="12.5" style="340" customWidth="1"/>
    <col min="4870" max="4871" width="9.125" style="340" bestFit="1" customWidth="1"/>
    <col min="4872" max="4873" width="11.75" style="340" bestFit="1" customWidth="1"/>
    <col min="4874" max="4877" width="11" style="340" bestFit="1" customWidth="1"/>
    <col min="4878" max="4879" width="11.75" style="340" bestFit="1" customWidth="1"/>
    <col min="4880" max="4881" width="11" style="340" bestFit="1" customWidth="1"/>
    <col min="4882" max="5120" width="9" style="340"/>
    <col min="5121" max="5121" width="21.375" style="340" customWidth="1"/>
    <col min="5122" max="5125" width="12.5" style="340" customWidth="1"/>
    <col min="5126" max="5127" width="9.125" style="340" bestFit="1" customWidth="1"/>
    <col min="5128" max="5129" width="11.75" style="340" bestFit="1" customWidth="1"/>
    <col min="5130" max="5133" width="11" style="340" bestFit="1" customWidth="1"/>
    <col min="5134" max="5135" width="11.75" style="340" bestFit="1" customWidth="1"/>
    <col min="5136" max="5137" width="11" style="340" bestFit="1" customWidth="1"/>
    <col min="5138" max="5376" width="9" style="340"/>
    <col min="5377" max="5377" width="21.375" style="340" customWidth="1"/>
    <col min="5378" max="5381" width="12.5" style="340" customWidth="1"/>
    <col min="5382" max="5383" width="9.125" style="340" bestFit="1" customWidth="1"/>
    <col min="5384" max="5385" width="11.75" style="340" bestFit="1" customWidth="1"/>
    <col min="5386" max="5389" width="11" style="340" bestFit="1" customWidth="1"/>
    <col min="5390" max="5391" width="11.75" style="340" bestFit="1" customWidth="1"/>
    <col min="5392" max="5393" width="11" style="340" bestFit="1" customWidth="1"/>
    <col min="5394" max="5632" width="9" style="340"/>
    <col min="5633" max="5633" width="21.375" style="340" customWidth="1"/>
    <col min="5634" max="5637" width="12.5" style="340" customWidth="1"/>
    <col min="5638" max="5639" width="9.125" style="340" bestFit="1" customWidth="1"/>
    <col min="5640" max="5641" width="11.75" style="340" bestFit="1" customWidth="1"/>
    <col min="5642" max="5645" width="11" style="340" bestFit="1" customWidth="1"/>
    <col min="5646" max="5647" width="11.75" style="340" bestFit="1" customWidth="1"/>
    <col min="5648" max="5649" width="11" style="340" bestFit="1" customWidth="1"/>
    <col min="5650" max="5888" width="9" style="340"/>
    <col min="5889" max="5889" width="21.375" style="340" customWidth="1"/>
    <col min="5890" max="5893" width="12.5" style="340" customWidth="1"/>
    <col min="5894" max="5895" width="9.125" style="340" bestFit="1" customWidth="1"/>
    <col min="5896" max="5897" width="11.75" style="340" bestFit="1" customWidth="1"/>
    <col min="5898" max="5901" width="11" style="340" bestFit="1" customWidth="1"/>
    <col min="5902" max="5903" width="11.75" style="340" bestFit="1" customWidth="1"/>
    <col min="5904" max="5905" width="11" style="340" bestFit="1" customWidth="1"/>
    <col min="5906" max="6144" width="9" style="340"/>
    <col min="6145" max="6145" width="21.375" style="340" customWidth="1"/>
    <col min="6146" max="6149" width="12.5" style="340" customWidth="1"/>
    <col min="6150" max="6151" width="9.125" style="340" bestFit="1" customWidth="1"/>
    <col min="6152" max="6153" width="11.75" style="340" bestFit="1" customWidth="1"/>
    <col min="6154" max="6157" width="11" style="340" bestFit="1" customWidth="1"/>
    <col min="6158" max="6159" width="11.75" style="340" bestFit="1" customWidth="1"/>
    <col min="6160" max="6161" width="11" style="340" bestFit="1" customWidth="1"/>
    <col min="6162" max="6400" width="9" style="340"/>
    <col min="6401" max="6401" width="21.375" style="340" customWidth="1"/>
    <col min="6402" max="6405" width="12.5" style="340" customWidth="1"/>
    <col min="6406" max="6407" width="9.125" style="340" bestFit="1" customWidth="1"/>
    <col min="6408" max="6409" width="11.75" style="340" bestFit="1" customWidth="1"/>
    <col min="6410" max="6413" width="11" style="340" bestFit="1" customWidth="1"/>
    <col min="6414" max="6415" width="11.75" style="340" bestFit="1" customWidth="1"/>
    <col min="6416" max="6417" width="11" style="340" bestFit="1" customWidth="1"/>
    <col min="6418" max="6656" width="9" style="340"/>
    <col min="6657" max="6657" width="21.375" style="340" customWidth="1"/>
    <col min="6658" max="6661" width="12.5" style="340" customWidth="1"/>
    <col min="6662" max="6663" width="9.125" style="340" bestFit="1" customWidth="1"/>
    <col min="6664" max="6665" width="11.75" style="340" bestFit="1" customWidth="1"/>
    <col min="6666" max="6669" width="11" style="340" bestFit="1" customWidth="1"/>
    <col min="6670" max="6671" width="11.75" style="340" bestFit="1" customWidth="1"/>
    <col min="6672" max="6673" width="11" style="340" bestFit="1" customWidth="1"/>
    <col min="6674" max="6912" width="9" style="340"/>
    <col min="6913" max="6913" width="21.375" style="340" customWidth="1"/>
    <col min="6914" max="6917" width="12.5" style="340" customWidth="1"/>
    <col min="6918" max="6919" width="9.125" style="340" bestFit="1" customWidth="1"/>
    <col min="6920" max="6921" width="11.75" style="340" bestFit="1" customWidth="1"/>
    <col min="6922" max="6925" width="11" style="340" bestFit="1" customWidth="1"/>
    <col min="6926" max="6927" width="11.75" style="340" bestFit="1" customWidth="1"/>
    <col min="6928" max="6929" width="11" style="340" bestFit="1" customWidth="1"/>
    <col min="6930" max="7168" width="9" style="340"/>
    <col min="7169" max="7169" width="21.375" style="340" customWidth="1"/>
    <col min="7170" max="7173" width="12.5" style="340" customWidth="1"/>
    <col min="7174" max="7175" width="9.125" style="340" bestFit="1" customWidth="1"/>
    <col min="7176" max="7177" width="11.75" style="340" bestFit="1" customWidth="1"/>
    <col min="7178" max="7181" width="11" style="340" bestFit="1" customWidth="1"/>
    <col min="7182" max="7183" width="11.75" style="340" bestFit="1" customWidth="1"/>
    <col min="7184" max="7185" width="11" style="340" bestFit="1" customWidth="1"/>
    <col min="7186" max="7424" width="9" style="340"/>
    <col min="7425" max="7425" width="21.375" style="340" customWidth="1"/>
    <col min="7426" max="7429" width="12.5" style="340" customWidth="1"/>
    <col min="7430" max="7431" width="9.125" style="340" bestFit="1" customWidth="1"/>
    <col min="7432" max="7433" width="11.75" style="340" bestFit="1" customWidth="1"/>
    <col min="7434" max="7437" width="11" style="340" bestFit="1" customWidth="1"/>
    <col min="7438" max="7439" width="11.75" style="340" bestFit="1" customWidth="1"/>
    <col min="7440" max="7441" width="11" style="340" bestFit="1" customWidth="1"/>
    <col min="7442" max="7680" width="9" style="340"/>
    <col min="7681" max="7681" width="21.375" style="340" customWidth="1"/>
    <col min="7682" max="7685" width="12.5" style="340" customWidth="1"/>
    <col min="7686" max="7687" width="9.125" style="340" bestFit="1" customWidth="1"/>
    <col min="7688" max="7689" width="11.75" style="340" bestFit="1" customWidth="1"/>
    <col min="7690" max="7693" width="11" style="340" bestFit="1" customWidth="1"/>
    <col min="7694" max="7695" width="11.75" style="340" bestFit="1" customWidth="1"/>
    <col min="7696" max="7697" width="11" style="340" bestFit="1" customWidth="1"/>
    <col min="7698" max="7936" width="9" style="340"/>
    <col min="7937" max="7937" width="21.375" style="340" customWidth="1"/>
    <col min="7938" max="7941" width="12.5" style="340" customWidth="1"/>
    <col min="7942" max="7943" width="9.125" style="340" bestFit="1" customWidth="1"/>
    <col min="7944" max="7945" width="11.75" style="340" bestFit="1" customWidth="1"/>
    <col min="7946" max="7949" width="11" style="340" bestFit="1" customWidth="1"/>
    <col min="7950" max="7951" width="11.75" style="340" bestFit="1" customWidth="1"/>
    <col min="7952" max="7953" width="11" style="340" bestFit="1" customWidth="1"/>
    <col min="7954" max="8192" width="9" style="340"/>
    <col min="8193" max="8193" width="21.375" style="340" customWidth="1"/>
    <col min="8194" max="8197" width="12.5" style="340" customWidth="1"/>
    <col min="8198" max="8199" width="9.125" style="340" bestFit="1" customWidth="1"/>
    <col min="8200" max="8201" width="11.75" style="340" bestFit="1" customWidth="1"/>
    <col min="8202" max="8205" width="11" style="340" bestFit="1" customWidth="1"/>
    <col min="8206" max="8207" width="11.75" style="340" bestFit="1" customWidth="1"/>
    <col min="8208" max="8209" width="11" style="340" bestFit="1" customWidth="1"/>
    <col min="8210" max="8448" width="9" style="340"/>
    <col min="8449" max="8449" width="21.375" style="340" customWidth="1"/>
    <col min="8450" max="8453" width="12.5" style="340" customWidth="1"/>
    <col min="8454" max="8455" width="9.125" style="340" bestFit="1" customWidth="1"/>
    <col min="8456" max="8457" width="11.75" style="340" bestFit="1" customWidth="1"/>
    <col min="8458" max="8461" width="11" style="340" bestFit="1" customWidth="1"/>
    <col min="8462" max="8463" width="11.75" style="340" bestFit="1" customWidth="1"/>
    <col min="8464" max="8465" width="11" style="340" bestFit="1" customWidth="1"/>
    <col min="8466" max="8704" width="9" style="340"/>
    <col min="8705" max="8705" width="21.375" style="340" customWidth="1"/>
    <col min="8706" max="8709" width="12.5" style="340" customWidth="1"/>
    <col min="8710" max="8711" width="9.125" style="340" bestFit="1" customWidth="1"/>
    <col min="8712" max="8713" width="11.75" style="340" bestFit="1" customWidth="1"/>
    <col min="8714" max="8717" width="11" style="340" bestFit="1" customWidth="1"/>
    <col min="8718" max="8719" width="11.75" style="340" bestFit="1" customWidth="1"/>
    <col min="8720" max="8721" width="11" style="340" bestFit="1" customWidth="1"/>
    <col min="8722" max="8960" width="9" style="340"/>
    <col min="8961" max="8961" width="21.375" style="340" customWidth="1"/>
    <col min="8962" max="8965" width="12.5" style="340" customWidth="1"/>
    <col min="8966" max="8967" width="9.125" style="340" bestFit="1" customWidth="1"/>
    <col min="8968" max="8969" width="11.75" style="340" bestFit="1" customWidth="1"/>
    <col min="8970" max="8973" width="11" style="340" bestFit="1" customWidth="1"/>
    <col min="8974" max="8975" width="11.75" style="340" bestFit="1" customWidth="1"/>
    <col min="8976" max="8977" width="11" style="340" bestFit="1" customWidth="1"/>
    <col min="8978" max="9216" width="9" style="340"/>
    <col min="9217" max="9217" width="21.375" style="340" customWidth="1"/>
    <col min="9218" max="9221" width="12.5" style="340" customWidth="1"/>
    <col min="9222" max="9223" width="9.125" style="340" bestFit="1" customWidth="1"/>
    <col min="9224" max="9225" width="11.75" style="340" bestFit="1" customWidth="1"/>
    <col min="9226" max="9229" width="11" style="340" bestFit="1" customWidth="1"/>
    <col min="9230" max="9231" width="11.75" style="340" bestFit="1" customWidth="1"/>
    <col min="9232" max="9233" width="11" style="340" bestFit="1" customWidth="1"/>
    <col min="9234" max="9472" width="9" style="340"/>
    <col min="9473" max="9473" width="21.375" style="340" customWidth="1"/>
    <col min="9474" max="9477" width="12.5" style="340" customWidth="1"/>
    <col min="9478" max="9479" width="9.125" style="340" bestFit="1" customWidth="1"/>
    <col min="9480" max="9481" width="11.75" style="340" bestFit="1" customWidth="1"/>
    <col min="9482" max="9485" width="11" style="340" bestFit="1" customWidth="1"/>
    <col min="9486" max="9487" width="11.75" style="340" bestFit="1" customWidth="1"/>
    <col min="9488" max="9489" width="11" style="340" bestFit="1" customWidth="1"/>
    <col min="9490" max="9728" width="9" style="340"/>
    <col min="9729" max="9729" width="21.375" style="340" customWidth="1"/>
    <col min="9730" max="9733" width="12.5" style="340" customWidth="1"/>
    <col min="9734" max="9735" width="9.125" style="340" bestFit="1" customWidth="1"/>
    <col min="9736" max="9737" width="11.75" style="340" bestFit="1" customWidth="1"/>
    <col min="9738" max="9741" width="11" style="340" bestFit="1" customWidth="1"/>
    <col min="9742" max="9743" width="11.75" style="340" bestFit="1" customWidth="1"/>
    <col min="9744" max="9745" width="11" style="340" bestFit="1" customWidth="1"/>
    <col min="9746" max="9984" width="9" style="340"/>
    <col min="9985" max="9985" width="21.375" style="340" customWidth="1"/>
    <col min="9986" max="9989" width="12.5" style="340" customWidth="1"/>
    <col min="9990" max="9991" width="9.125" style="340" bestFit="1" customWidth="1"/>
    <col min="9992" max="9993" width="11.75" style="340" bestFit="1" customWidth="1"/>
    <col min="9994" max="9997" width="11" style="340" bestFit="1" customWidth="1"/>
    <col min="9998" max="9999" width="11.75" style="340" bestFit="1" customWidth="1"/>
    <col min="10000" max="10001" width="11" style="340" bestFit="1" customWidth="1"/>
    <col min="10002" max="10240" width="9" style="340"/>
    <col min="10241" max="10241" width="21.375" style="340" customWidth="1"/>
    <col min="10242" max="10245" width="12.5" style="340" customWidth="1"/>
    <col min="10246" max="10247" width="9.125" style="340" bestFit="1" customWidth="1"/>
    <col min="10248" max="10249" width="11.75" style="340" bestFit="1" customWidth="1"/>
    <col min="10250" max="10253" width="11" style="340" bestFit="1" customWidth="1"/>
    <col min="10254" max="10255" width="11.75" style="340" bestFit="1" customWidth="1"/>
    <col min="10256" max="10257" width="11" style="340" bestFit="1" customWidth="1"/>
    <col min="10258" max="10496" width="9" style="340"/>
    <col min="10497" max="10497" width="21.375" style="340" customWidth="1"/>
    <col min="10498" max="10501" width="12.5" style="340" customWidth="1"/>
    <col min="10502" max="10503" width="9.125" style="340" bestFit="1" customWidth="1"/>
    <col min="10504" max="10505" width="11.75" style="340" bestFit="1" customWidth="1"/>
    <col min="10506" max="10509" width="11" style="340" bestFit="1" customWidth="1"/>
    <col min="10510" max="10511" width="11.75" style="340" bestFit="1" customWidth="1"/>
    <col min="10512" max="10513" width="11" style="340" bestFit="1" customWidth="1"/>
    <col min="10514" max="10752" width="9" style="340"/>
    <col min="10753" max="10753" width="21.375" style="340" customWidth="1"/>
    <col min="10754" max="10757" width="12.5" style="340" customWidth="1"/>
    <col min="10758" max="10759" width="9.125" style="340" bestFit="1" customWidth="1"/>
    <col min="10760" max="10761" width="11.75" style="340" bestFit="1" customWidth="1"/>
    <col min="10762" max="10765" width="11" style="340" bestFit="1" customWidth="1"/>
    <col min="10766" max="10767" width="11.75" style="340" bestFit="1" customWidth="1"/>
    <col min="10768" max="10769" width="11" style="340" bestFit="1" customWidth="1"/>
    <col min="10770" max="11008" width="9" style="340"/>
    <col min="11009" max="11009" width="21.375" style="340" customWidth="1"/>
    <col min="11010" max="11013" width="12.5" style="340" customWidth="1"/>
    <col min="11014" max="11015" width="9.125" style="340" bestFit="1" customWidth="1"/>
    <col min="11016" max="11017" width="11.75" style="340" bestFit="1" customWidth="1"/>
    <col min="11018" max="11021" width="11" style="340" bestFit="1" customWidth="1"/>
    <col min="11022" max="11023" width="11.75" style="340" bestFit="1" customWidth="1"/>
    <col min="11024" max="11025" width="11" style="340" bestFit="1" customWidth="1"/>
    <col min="11026" max="11264" width="9" style="340"/>
    <col min="11265" max="11265" width="21.375" style="340" customWidth="1"/>
    <col min="11266" max="11269" width="12.5" style="340" customWidth="1"/>
    <col min="11270" max="11271" width="9.125" style="340" bestFit="1" customWidth="1"/>
    <col min="11272" max="11273" width="11.75" style="340" bestFit="1" customWidth="1"/>
    <col min="11274" max="11277" width="11" style="340" bestFit="1" customWidth="1"/>
    <col min="11278" max="11279" width="11.75" style="340" bestFit="1" customWidth="1"/>
    <col min="11280" max="11281" width="11" style="340" bestFit="1" customWidth="1"/>
    <col min="11282" max="11520" width="9" style="340"/>
    <col min="11521" max="11521" width="21.375" style="340" customWidth="1"/>
    <col min="11522" max="11525" width="12.5" style="340" customWidth="1"/>
    <col min="11526" max="11527" width="9.125" style="340" bestFit="1" customWidth="1"/>
    <col min="11528" max="11529" width="11.75" style="340" bestFit="1" customWidth="1"/>
    <col min="11530" max="11533" width="11" style="340" bestFit="1" customWidth="1"/>
    <col min="11534" max="11535" width="11.75" style="340" bestFit="1" customWidth="1"/>
    <col min="11536" max="11537" width="11" style="340" bestFit="1" customWidth="1"/>
    <col min="11538" max="11776" width="9" style="340"/>
    <col min="11777" max="11777" width="21.375" style="340" customWidth="1"/>
    <col min="11778" max="11781" width="12.5" style="340" customWidth="1"/>
    <col min="11782" max="11783" width="9.125" style="340" bestFit="1" customWidth="1"/>
    <col min="11784" max="11785" width="11.75" style="340" bestFit="1" customWidth="1"/>
    <col min="11786" max="11789" width="11" style="340" bestFit="1" customWidth="1"/>
    <col min="11790" max="11791" width="11.75" style="340" bestFit="1" customWidth="1"/>
    <col min="11792" max="11793" width="11" style="340" bestFit="1" customWidth="1"/>
    <col min="11794" max="12032" width="9" style="340"/>
    <col min="12033" max="12033" width="21.375" style="340" customWidth="1"/>
    <col min="12034" max="12037" width="12.5" style="340" customWidth="1"/>
    <col min="12038" max="12039" width="9.125" style="340" bestFit="1" customWidth="1"/>
    <col min="12040" max="12041" width="11.75" style="340" bestFit="1" customWidth="1"/>
    <col min="12042" max="12045" width="11" style="340" bestFit="1" customWidth="1"/>
    <col min="12046" max="12047" width="11.75" style="340" bestFit="1" customWidth="1"/>
    <col min="12048" max="12049" width="11" style="340" bestFit="1" customWidth="1"/>
    <col min="12050" max="12288" width="9" style="340"/>
    <col min="12289" max="12289" width="21.375" style="340" customWidth="1"/>
    <col min="12290" max="12293" width="12.5" style="340" customWidth="1"/>
    <col min="12294" max="12295" width="9.125" style="340" bestFit="1" customWidth="1"/>
    <col min="12296" max="12297" width="11.75" style="340" bestFit="1" customWidth="1"/>
    <col min="12298" max="12301" width="11" style="340" bestFit="1" customWidth="1"/>
    <col min="12302" max="12303" width="11.75" style="340" bestFit="1" customWidth="1"/>
    <col min="12304" max="12305" width="11" style="340" bestFit="1" customWidth="1"/>
    <col min="12306" max="12544" width="9" style="340"/>
    <col min="12545" max="12545" width="21.375" style="340" customWidth="1"/>
    <col min="12546" max="12549" width="12.5" style="340" customWidth="1"/>
    <col min="12550" max="12551" width="9.125" style="340" bestFit="1" customWidth="1"/>
    <col min="12552" max="12553" width="11.75" style="340" bestFit="1" customWidth="1"/>
    <col min="12554" max="12557" width="11" style="340" bestFit="1" customWidth="1"/>
    <col min="12558" max="12559" width="11.75" style="340" bestFit="1" customWidth="1"/>
    <col min="12560" max="12561" width="11" style="340" bestFit="1" customWidth="1"/>
    <col min="12562" max="12800" width="9" style="340"/>
    <col min="12801" max="12801" width="21.375" style="340" customWidth="1"/>
    <col min="12802" max="12805" width="12.5" style="340" customWidth="1"/>
    <col min="12806" max="12807" width="9.125" style="340" bestFit="1" customWidth="1"/>
    <col min="12808" max="12809" width="11.75" style="340" bestFit="1" customWidth="1"/>
    <col min="12810" max="12813" width="11" style="340" bestFit="1" customWidth="1"/>
    <col min="12814" max="12815" width="11.75" style="340" bestFit="1" customWidth="1"/>
    <col min="12816" max="12817" width="11" style="340" bestFit="1" customWidth="1"/>
    <col min="12818" max="13056" width="9" style="340"/>
    <col min="13057" max="13057" width="21.375" style="340" customWidth="1"/>
    <col min="13058" max="13061" width="12.5" style="340" customWidth="1"/>
    <col min="13062" max="13063" width="9.125" style="340" bestFit="1" customWidth="1"/>
    <col min="13064" max="13065" width="11.75" style="340" bestFit="1" customWidth="1"/>
    <col min="13066" max="13069" width="11" style="340" bestFit="1" customWidth="1"/>
    <col min="13070" max="13071" width="11.75" style="340" bestFit="1" customWidth="1"/>
    <col min="13072" max="13073" width="11" style="340" bestFit="1" customWidth="1"/>
    <col min="13074" max="13312" width="9" style="340"/>
    <col min="13313" max="13313" width="21.375" style="340" customWidth="1"/>
    <col min="13314" max="13317" width="12.5" style="340" customWidth="1"/>
    <col min="13318" max="13319" width="9.125" style="340" bestFit="1" customWidth="1"/>
    <col min="13320" max="13321" width="11.75" style="340" bestFit="1" customWidth="1"/>
    <col min="13322" max="13325" width="11" style="340" bestFit="1" customWidth="1"/>
    <col min="13326" max="13327" width="11.75" style="340" bestFit="1" customWidth="1"/>
    <col min="13328" max="13329" width="11" style="340" bestFit="1" customWidth="1"/>
    <col min="13330" max="13568" width="9" style="340"/>
    <col min="13569" max="13569" width="21.375" style="340" customWidth="1"/>
    <col min="13570" max="13573" width="12.5" style="340" customWidth="1"/>
    <col min="13574" max="13575" width="9.125" style="340" bestFit="1" customWidth="1"/>
    <col min="13576" max="13577" width="11.75" style="340" bestFit="1" customWidth="1"/>
    <col min="13578" max="13581" width="11" style="340" bestFit="1" customWidth="1"/>
    <col min="13582" max="13583" width="11.75" style="340" bestFit="1" customWidth="1"/>
    <col min="13584" max="13585" width="11" style="340" bestFit="1" customWidth="1"/>
    <col min="13586" max="13824" width="9" style="340"/>
    <col min="13825" max="13825" width="21.375" style="340" customWidth="1"/>
    <col min="13826" max="13829" width="12.5" style="340" customWidth="1"/>
    <col min="13830" max="13831" width="9.125" style="340" bestFit="1" customWidth="1"/>
    <col min="13832" max="13833" width="11.75" style="340" bestFit="1" customWidth="1"/>
    <col min="13834" max="13837" width="11" style="340" bestFit="1" customWidth="1"/>
    <col min="13838" max="13839" width="11.75" style="340" bestFit="1" customWidth="1"/>
    <col min="13840" max="13841" width="11" style="340" bestFit="1" customWidth="1"/>
    <col min="13842" max="14080" width="9" style="340"/>
    <col min="14081" max="14081" width="21.375" style="340" customWidth="1"/>
    <col min="14082" max="14085" width="12.5" style="340" customWidth="1"/>
    <col min="14086" max="14087" width="9.125" style="340" bestFit="1" customWidth="1"/>
    <col min="14088" max="14089" width="11.75" style="340" bestFit="1" customWidth="1"/>
    <col min="14090" max="14093" width="11" style="340" bestFit="1" customWidth="1"/>
    <col min="14094" max="14095" width="11.75" style="340" bestFit="1" customWidth="1"/>
    <col min="14096" max="14097" width="11" style="340" bestFit="1" customWidth="1"/>
    <col min="14098" max="14336" width="9" style="340"/>
    <col min="14337" max="14337" width="21.375" style="340" customWidth="1"/>
    <col min="14338" max="14341" width="12.5" style="340" customWidth="1"/>
    <col min="14342" max="14343" width="9.125" style="340" bestFit="1" customWidth="1"/>
    <col min="14344" max="14345" width="11.75" style="340" bestFit="1" customWidth="1"/>
    <col min="14346" max="14349" width="11" style="340" bestFit="1" customWidth="1"/>
    <col min="14350" max="14351" width="11.75" style="340" bestFit="1" customWidth="1"/>
    <col min="14352" max="14353" width="11" style="340" bestFit="1" customWidth="1"/>
    <col min="14354" max="14592" width="9" style="340"/>
    <col min="14593" max="14593" width="21.375" style="340" customWidth="1"/>
    <col min="14594" max="14597" width="12.5" style="340" customWidth="1"/>
    <col min="14598" max="14599" width="9.125" style="340" bestFit="1" customWidth="1"/>
    <col min="14600" max="14601" width="11.75" style="340" bestFit="1" customWidth="1"/>
    <col min="14602" max="14605" width="11" style="340" bestFit="1" customWidth="1"/>
    <col min="14606" max="14607" width="11.75" style="340" bestFit="1" customWidth="1"/>
    <col min="14608" max="14609" width="11" style="340" bestFit="1" customWidth="1"/>
    <col min="14610" max="14848" width="9" style="340"/>
    <col min="14849" max="14849" width="21.375" style="340" customWidth="1"/>
    <col min="14850" max="14853" width="12.5" style="340" customWidth="1"/>
    <col min="14854" max="14855" width="9.125" style="340" bestFit="1" customWidth="1"/>
    <col min="14856" max="14857" width="11.75" style="340" bestFit="1" customWidth="1"/>
    <col min="14858" max="14861" width="11" style="340" bestFit="1" customWidth="1"/>
    <col min="14862" max="14863" width="11.75" style="340" bestFit="1" customWidth="1"/>
    <col min="14864" max="14865" width="11" style="340" bestFit="1" customWidth="1"/>
    <col min="14866" max="15104" width="9" style="340"/>
    <col min="15105" max="15105" width="21.375" style="340" customWidth="1"/>
    <col min="15106" max="15109" width="12.5" style="340" customWidth="1"/>
    <col min="15110" max="15111" width="9.125" style="340" bestFit="1" customWidth="1"/>
    <col min="15112" max="15113" width="11.75" style="340" bestFit="1" customWidth="1"/>
    <col min="15114" max="15117" width="11" style="340" bestFit="1" customWidth="1"/>
    <col min="15118" max="15119" width="11.75" style="340" bestFit="1" customWidth="1"/>
    <col min="15120" max="15121" width="11" style="340" bestFit="1" customWidth="1"/>
    <col min="15122" max="15360" width="9" style="340"/>
    <col min="15361" max="15361" width="21.375" style="340" customWidth="1"/>
    <col min="15362" max="15365" width="12.5" style="340" customWidth="1"/>
    <col min="15366" max="15367" width="9.125" style="340" bestFit="1" customWidth="1"/>
    <col min="15368" max="15369" width="11.75" style="340" bestFit="1" customWidth="1"/>
    <col min="15370" max="15373" width="11" style="340" bestFit="1" customWidth="1"/>
    <col min="15374" max="15375" width="11.75" style="340" bestFit="1" customWidth="1"/>
    <col min="15376" max="15377" width="11" style="340" bestFit="1" customWidth="1"/>
    <col min="15378" max="15616" width="9" style="340"/>
    <col min="15617" max="15617" width="21.375" style="340" customWidth="1"/>
    <col min="15618" max="15621" width="12.5" style="340" customWidth="1"/>
    <col min="15622" max="15623" width="9.125" style="340" bestFit="1" customWidth="1"/>
    <col min="15624" max="15625" width="11.75" style="340" bestFit="1" customWidth="1"/>
    <col min="15626" max="15629" width="11" style="340" bestFit="1" customWidth="1"/>
    <col min="15630" max="15631" width="11.75" style="340" bestFit="1" customWidth="1"/>
    <col min="15632" max="15633" width="11" style="340" bestFit="1" customWidth="1"/>
    <col min="15634" max="15872" width="9" style="340"/>
    <col min="15873" max="15873" width="21.375" style="340" customWidth="1"/>
    <col min="15874" max="15877" width="12.5" style="340" customWidth="1"/>
    <col min="15878" max="15879" width="9.125" style="340" bestFit="1" customWidth="1"/>
    <col min="15880" max="15881" width="11.75" style="340" bestFit="1" customWidth="1"/>
    <col min="15882" max="15885" width="11" style="340" bestFit="1" customWidth="1"/>
    <col min="15886" max="15887" width="11.75" style="340" bestFit="1" customWidth="1"/>
    <col min="15888" max="15889" width="11" style="340" bestFit="1" customWidth="1"/>
    <col min="15890" max="16128" width="9" style="340"/>
    <col min="16129" max="16129" width="21.375" style="340" customWidth="1"/>
    <col min="16130" max="16133" width="12.5" style="340" customWidth="1"/>
    <col min="16134" max="16135" width="9.125" style="340" bestFit="1" customWidth="1"/>
    <col min="16136" max="16137" width="11.75" style="340" bestFit="1" customWidth="1"/>
    <col min="16138" max="16141" width="11" style="340" bestFit="1" customWidth="1"/>
    <col min="16142" max="16143" width="11.75" style="340" bestFit="1" customWidth="1"/>
    <col min="16144" max="16145" width="11" style="340" bestFit="1" customWidth="1"/>
    <col min="16146" max="16384" width="9" style="340"/>
  </cols>
  <sheetData>
    <row r="1" spans="1:17" ht="36.75" customHeight="1">
      <c r="A1" s="712" t="s">
        <v>1497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</row>
    <row r="2" spans="1:17" s="342" customFormat="1" ht="18.75" customHeight="1">
      <c r="A2" s="341"/>
      <c r="B2" s="341"/>
      <c r="C2" s="341"/>
      <c r="D2" s="341"/>
      <c r="E2" s="341"/>
      <c r="F2" s="341"/>
      <c r="G2" s="341"/>
      <c r="H2" s="341"/>
      <c r="I2" s="341"/>
      <c r="J2" s="713"/>
      <c r="K2" s="713"/>
      <c r="L2" s="341"/>
      <c r="M2" s="341"/>
      <c r="N2" s="341"/>
      <c r="O2" s="341"/>
      <c r="P2" s="714" t="s">
        <v>1498</v>
      </c>
      <c r="Q2" s="714"/>
    </row>
    <row r="3" spans="1:17" s="348" customFormat="1" ht="18.75" customHeight="1" thickBot="1">
      <c r="A3" s="343" t="s">
        <v>1499</v>
      </c>
      <c r="B3" s="344"/>
      <c r="C3" s="345"/>
      <c r="D3" s="345"/>
      <c r="E3" s="345"/>
      <c r="F3" s="346"/>
      <c r="G3" s="346"/>
      <c r="H3" s="345"/>
      <c r="I3" s="345"/>
      <c r="J3" s="346"/>
      <c r="K3" s="347"/>
      <c r="L3" s="345"/>
      <c r="M3" s="345"/>
      <c r="N3" s="345"/>
      <c r="O3" s="345"/>
      <c r="P3" s="714" t="s">
        <v>1500</v>
      </c>
      <c r="Q3" s="714"/>
    </row>
    <row r="4" spans="1:17" s="349" customFormat="1" ht="33" customHeight="1">
      <c r="A4" s="715" t="s">
        <v>1501</v>
      </c>
      <c r="B4" s="708" t="s">
        <v>1502</v>
      </c>
      <c r="C4" s="711"/>
      <c r="D4" s="717" t="s">
        <v>1503</v>
      </c>
      <c r="E4" s="709"/>
      <c r="F4" s="718" t="s">
        <v>1504</v>
      </c>
      <c r="G4" s="709"/>
      <c r="H4" s="718" t="s">
        <v>1505</v>
      </c>
      <c r="I4" s="719"/>
      <c r="J4" s="720" t="s">
        <v>1506</v>
      </c>
      <c r="K4" s="721"/>
      <c r="L4" s="708" t="s">
        <v>1507</v>
      </c>
      <c r="M4" s="709"/>
      <c r="N4" s="710" t="s">
        <v>1508</v>
      </c>
      <c r="O4" s="709"/>
      <c r="P4" s="710" t="s">
        <v>1509</v>
      </c>
      <c r="Q4" s="711"/>
    </row>
    <row r="5" spans="1:17" s="349" customFormat="1" ht="27.75" customHeight="1" thickBot="1">
      <c r="A5" s="716"/>
      <c r="B5" s="350" t="s">
        <v>1510</v>
      </c>
      <c r="C5" s="351" t="s">
        <v>1511</v>
      </c>
      <c r="D5" s="350" t="s">
        <v>1510</v>
      </c>
      <c r="E5" s="352" t="s">
        <v>1511</v>
      </c>
      <c r="F5" s="352" t="s">
        <v>1510</v>
      </c>
      <c r="G5" s="352" t="s">
        <v>1511</v>
      </c>
      <c r="H5" s="352" t="s">
        <v>1510</v>
      </c>
      <c r="I5" s="353" t="s">
        <v>1511</v>
      </c>
      <c r="J5" s="354" t="s">
        <v>1510</v>
      </c>
      <c r="K5" s="354" t="s">
        <v>1511</v>
      </c>
      <c r="L5" s="350" t="s">
        <v>1510</v>
      </c>
      <c r="M5" s="352" t="s">
        <v>1511</v>
      </c>
      <c r="N5" s="352" t="s">
        <v>1510</v>
      </c>
      <c r="O5" s="352" t="s">
        <v>1511</v>
      </c>
      <c r="P5" s="352" t="s">
        <v>1510</v>
      </c>
      <c r="Q5" s="351" t="s">
        <v>1511</v>
      </c>
    </row>
    <row r="6" spans="1:17" s="349" customFormat="1" ht="30.75" customHeight="1">
      <c r="A6" s="355" t="s">
        <v>1512</v>
      </c>
      <c r="B6" s="356">
        <f t="shared" ref="B6:C10" si="0">D6+F6+H6+J6+L6+N6+P6</f>
        <v>292507673116.58002</v>
      </c>
      <c r="C6" s="229">
        <f t="shared" si="0"/>
        <v>363501238008.65997</v>
      </c>
      <c r="D6" s="356">
        <f>D7+D8+D9+D10+D12</f>
        <v>226639025179.02002</v>
      </c>
      <c r="E6" s="357">
        <f t="shared" ref="E6:Q6" si="1">E7+E8+E9+E10+E12</f>
        <v>280344317204.65002</v>
      </c>
      <c r="F6" s="357">
        <f t="shared" si="1"/>
        <v>55133864.810000002</v>
      </c>
      <c r="G6" s="357">
        <f t="shared" si="1"/>
        <v>51753707.440000005</v>
      </c>
      <c r="H6" s="357">
        <f t="shared" si="1"/>
        <v>45246189560.330002</v>
      </c>
      <c r="I6" s="358">
        <f t="shared" si="1"/>
        <v>54148649387.910004</v>
      </c>
      <c r="J6" s="359">
        <f t="shared" si="1"/>
        <v>1106953205.3199999</v>
      </c>
      <c r="K6" s="359">
        <f t="shared" si="1"/>
        <v>1442846952.9700003</v>
      </c>
      <c r="L6" s="356">
        <f t="shared" si="1"/>
        <v>4615542645.9300003</v>
      </c>
      <c r="M6" s="357">
        <f t="shared" si="1"/>
        <v>5155275872.5300007</v>
      </c>
      <c r="N6" s="357">
        <f t="shared" si="1"/>
        <v>11844467998.299999</v>
      </c>
      <c r="O6" s="357">
        <f t="shared" si="1"/>
        <v>17141887541.300001</v>
      </c>
      <c r="P6" s="357">
        <f t="shared" si="1"/>
        <v>3000360662.8700004</v>
      </c>
      <c r="Q6" s="229">
        <f t="shared" si="1"/>
        <v>5216507341.8600006</v>
      </c>
    </row>
    <row r="7" spans="1:17" s="349" customFormat="1" ht="30.75" customHeight="1">
      <c r="A7" s="360" t="s">
        <v>1513</v>
      </c>
      <c r="B7" s="206">
        <f t="shared" si="0"/>
        <v>0</v>
      </c>
      <c r="C7" s="210">
        <f t="shared" si="0"/>
        <v>0</v>
      </c>
      <c r="D7" s="206"/>
      <c r="E7" s="207"/>
      <c r="F7" s="207"/>
      <c r="G7" s="207"/>
      <c r="H7" s="207"/>
      <c r="I7" s="208"/>
      <c r="J7" s="209"/>
      <c r="K7" s="209"/>
      <c r="L7" s="206"/>
      <c r="M7" s="207"/>
      <c r="N7" s="207"/>
      <c r="O7" s="207"/>
      <c r="P7" s="207"/>
      <c r="Q7" s="210"/>
    </row>
    <row r="8" spans="1:17" s="349" customFormat="1" ht="30.75" customHeight="1">
      <c r="A8" s="360" t="s">
        <v>1514</v>
      </c>
      <c r="B8" s="206">
        <f t="shared" si="0"/>
        <v>480798569.25</v>
      </c>
      <c r="C8" s="210">
        <f t="shared" si="0"/>
        <v>3179425670.1000009</v>
      </c>
      <c r="D8" s="206">
        <v>282943709.42000002</v>
      </c>
      <c r="E8" s="207">
        <v>1224969148.3</v>
      </c>
      <c r="F8" s="207">
        <v>1850043.87</v>
      </c>
      <c r="G8" s="207">
        <v>2372390.63</v>
      </c>
      <c r="H8" s="207">
        <v>29904590.359999999</v>
      </c>
      <c r="I8" s="208">
        <f>1210910558.04+107207409.8+134482728.7</f>
        <v>1452600696.54</v>
      </c>
      <c r="J8" s="209">
        <v>11241828.43</v>
      </c>
      <c r="K8" s="209">
        <v>233334474.90000001</v>
      </c>
      <c r="L8" s="206">
        <v>93236537.109999999</v>
      </c>
      <c r="M8" s="207">
        <v>26889943.879999999</v>
      </c>
      <c r="N8" s="207">
        <v>51926683.909999996</v>
      </c>
      <c r="O8" s="207">
        <v>76496385.760000005</v>
      </c>
      <c r="P8" s="207">
        <v>9695176.1500000004</v>
      </c>
      <c r="Q8" s="210">
        <f>162754432.33+8197.76</f>
        <v>162762630.09</v>
      </c>
    </row>
    <row r="9" spans="1:17" s="349" customFormat="1" ht="30.75" customHeight="1">
      <c r="A9" s="360" t="s">
        <v>1515</v>
      </c>
      <c r="B9" s="206">
        <f t="shared" si="0"/>
        <v>251256138740.84003</v>
      </c>
      <c r="C9" s="210">
        <f t="shared" si="0"/>
        <v>319480910326.97998</v>
      </c>
      <c r="D9" s="206">
        <v>186356081469.60001</v>
      </c>
      <c r="E9" s="207">
        <f>'27.财政专户资负表'!C19+'30.基本养老补充资料表'!C44</f>
        <v>239119348056.35001</v>
      </c>
      <c r="F9" s="207">
        <v>53283820.940000005</v>
      </c>
      <c r="G9" s="207">
        <f>'27.财政专户资负表'!E19+483658.02</f>
        <v>49381316.810000002</v>
      </c>
      <c r="H9" s="207">
        <v>44448269514.93</v>
      </c>
      <c r="I9" s="208">
        <f>'27.财政专户资负表'!F19+'31.职工医疗工伤生育补充资料表'!C18</f>
        <v>51858634443.110001</v>
      </c>
      <c r="J9" s="209">
        <v>1095711376.8899999</v>
      </c>
      <c r="K9" s="209">
        <f>'27.财政专户资负表'!G19+409157.38</f>
        <v>1208909578.0700002</v>
      </c>
      <c r="L9" s="206">
        <v>4521975227.7200003</v>
      </c>
      <c r="M9" s="207">
        <f>'27.财政专户资负表'!J19+'31.职工医疗工伤生育补充资料表'!F15</f>
        <v>5128055047.5500002</v>
      </c>
      <c r="N9" s="207">
        <v>11792140384.889999</v>
      </c>
      <c r="O9" s="207">
        <f>'27.财政专户资负表'!K19+'33.失业补充资料表'!F19</f>
        <v>17064990226.040001</v>
      </c>
      <c r="P9" s="207">
        <v>2988676945.8700004</v>
      </c>
      <c r="Q9" s="210">
        <f>'27.财政专户资负表'!L19+'31.职工医疗工伤生育补充资料表'!F23</f>
        <v>5051591659.0500002</v>
      </c>
    </row>
    <row r="10" spans="1:17" s="349" customFormat="1" ht="30.75" customHeight="1">
      <c r="A10" s="360" t="s">
        <v>1516</v>
      </c>
      <c r="B10" s="206">
        <f t="shared" si="0"/>
        <v>40770735806.489998</v>
      </c>
      <c r="C10" s="210">
        <f t="shared" si="0"/>
        <v>40840902011.580002</v>
      </c>
      <c r="D10" s="206">
        <v>40000000000</v>
      </c>
      <c r="E10" s="207">
        <v>40000000000</v>
      </c>
      <c r="F10" s="207"/>
      <c r="G10" s="207"/>
      <c r="H10" s="207">
        <v>768015455.04000008</v>
      </c>
      <c r="I10" s="208">
        <f>785263260.1+52150988.16</f>
        <v>837414248.25999999</v>
      </c>
      <c r="J10" s="209"/>
      <c r="K10" s="209">
        <v>602900</v>
      </c>
      <c r="L10" s="206">
        <v>330881.09999999998</v>
      </c>
      <c r="M10" s="207">
        <v>330881.09999999998</v>
      </c>
      <c r="N10" s="207">
        <v>400929.5</v>
      </c>
      <c r="O10" s="207">
        <v>400929.5</v>
      </c>
      <c r="P10" s="207">
        <v>1988540.85</v>
      </c>
      <c r="Q10" s="210">
        <v>2153052.7200000002</v>
      </c>
    </row>
    <row r="11" spans="1:17" s="349" customFormat="1" ht="30.75" customHeight="1">
      <c r="A11" s="360" t="s">
        <v>1517</v>
      </c>
      <c r="B11" s="206">
        <f>D11+F11</f>
        <v>40000000000</v>
      </c>
      <c r="C11" s="210">
        <f>E11+G11</f>
        <v>40000000000</v>
      </c>
      <c r="D11" s="206">
        <v>40000000000</v>
      </c>
      <c r="E11" s="207">
        <v>40000000000</v>
      </c>
      <c r="F11" s="211"/>
      <c r="G11" s="211"/>
      <c r="H11" s="211" t="s">
        <v>1518</v>
      </c>
      <c r="I11" s="212" t="s">
        <v>1518</v>
      </c>
      <c r="J11" s="213" t="s">
        <v>1518</v>
      </c>
      <c r="K11" s="213" t="s">
        <v>1518</v>
      </c>
      <c r="L11" s="214" t="s">
        <v>1518</v>
      </c>
      <c r="M11" s="211" t="s">
        <v>1518</v>
      </c>
      <c r="N11" s="211" t="s">
        <v>1518</v>
      </c>
      <c r="O11" s="211" t="s">
        <v>1518</v>
      </c>
      <c r="P11" s="211" t="s">
        <v>1518</v>
      </c>
      <c r="Q11" s="215" t="s">
        <v>1518</v>
      </c>
    </row>
    <row r="12" spans="1:17" s="349" customFormat="1" ht="30.75" customHeight="1">
      <c r="A12" s="360" t="s">
        <v>1519</v>
      </c>
      <c r="B12" s="206">
        <f t="shared" ref="B12:C16" si="2">D12+F12+H12+J12+L12+N12+P12</f>
        <v>0</v>
      </c>
      <c r="C12" s="210">
        <f t="shared" si="2"/>
        <v>0</v>
      </c>
      <c r="D12" s="206">
        <f>'27.财政专户资负表'!C9</f>
        <v>0</v>
      </c>
      <c r="E12" s="207">
        <f>'27.财政专户资负表'!C21</f>
        <v>0</v>
      </c>
      <c r="F12" s="207">
        <f>'27.财政专户资负表'!E9</f>
        <v>0</v>
      </c>
      <c r="G12" s="207">
        <f>'27.财政专户资负表'!E21</f>
        <v>0</v>
      </c>
      <c r="H12" s="207">
        <f>'27.财政专户资负表'!F9</f>
        <v>0</v>
      </c>
      <c r="I12" s="208">
        <f>'27.财政专户资负表'!F21</f>
        <v>0</v>
      </c>
      <c r="J12" s="209">
        <f>'27.财政专户资负表'!G9</f>
        <v>0</v>
      </c>
      <c r="K12" s="209">
        <f>'27.财政专户资负表'!G21</f>
        <v>0</v>
      </c>
      <c r="L12" s="206">
        <f>'27.财政专户资负表'!J9</f>
        <v>0</v>
      </c>
      <c r="M12" s="207">
        <f>'27.财政专户资负表'!J21</f>
        <v>0</v>
      </c>
      <c r="N12" s="207">
        <f>'27.财政专户资负表'!K9</f>
        <v>0</v>
      </c>
      <c r="O12" s="207">
        <f>'27.财政专户资负表'!K21</f>
        <v>0</v>
      </c>
      <c r="P12" s="207">
        <f>'27.财政专户资负表'!L9</f>
        <v>0</v>
      </c>
      <c r="Q12" s="210">
        <f>'27.财政专户资负表'!L21</f>
        <v>0</v>
      </c>
    </row>
    <row r="13" spans="1:17" s="349" customFormat="1" ht="30.75" customHeight="1">
      <c r="A13" s="361" t="s">
        <v>1520</v>
      </c>
      <c r="B13" s="206">
        <f t="shared" si="2"/>
        <v>973939277.05999994</v>
      </c>
      <c r="C13" s="210">
        <f t="shared" si="2"/>
        <v>1444352655.8899999</v>
      </c>
      <c r="D13" s="206">
        <f>SUM(D14:D15)</f>
        <v>906920887.10000002</v>
      </c>
      <c r="E13" s="207">
        <f t="shared" ref="E13:Q13" si="3">SUM(E14:E15)</f>
        <v>1332894577.0999999</v>
      </c>
      <c r="F13" s="207">
        <f t="shared" si="3"/>
        <v>11997680.380000001</v>
      </c>
      <c r="G13" s="207">
        <f t="shared" si="3"/>
        <v>10728481.99</v>
      </c>
      <c r="H13" s="207">
        <f t="shared" si="3"/>
        <v>52580994.310000002</v>
      </c>
      <c r="I13" s="208">
        <f t="shared" si="3"/>
        <v>73265040.609999999</v>
      </c>
      <c r="J13" s="209">
        <f t="shared" si="3"/>
        <v>492377.3</v>
      </c>
      <c r="K13" s="209">
        <f t="shared" si="3"/>
        <v>25245678.969999999</v>
      </c>
      <c r="L13" s="206">
        <f t="shared" si="3"/>
        <v>5824.5</v>
      </c>
      <c r="M13" s="207">
        <f t="shared" si="3"/>
        <v>65824.5</v>
      </c>
      <c r="N13" s="207">
        <f t="shared" si="3"/>
        <v>0</v>
      </c>
      <c r="O13" s="207">
        <f t="shared" si="3"/>
        <v>0</v>
      </c>
      <c r="P13" s="207">
        <f t="shared" si="3"/>
        <v>1941513.47</v>
      </c>
      <c r="Q13" s="210">
        <f t="shared" si="3"/>
        <v>2153052.7200000002</v>
      </c>
    </row>
    <row r="14" spans="1:17" s="349" customFormat="1" ht="30.75" customHeight="1">
      <c r="A14" s="360" t="s">
        <v>1521</v>
      </c>
      <c r="B14" s="206">
        <f t="shared" si="2"/>
        <v>0</v>
      </c>
      <c r="C14" s="210">
        <f t="shared" si="2"/>
        <v>0</v>
      </c>
      <c r="D14" s="206"/>
      <c r="E14" s="207"/>
      <c r="F14" s="207"/>
      <c r="G14" s="207"/>
      <c r="H14" s="207"/>
      <c r="I14" s="208"/>
      <c r="J14" s="209"/>
      <c r="K14" s="209"/>
      <c r="L14" s="206"/>
      <c r="M14" s="207"/>
      <c r="N14" s="207"/>
      <c r="O14" s="207"/>
      <c r="P14" s="207"/>
      <c r="Q14" s="210"/>
    </row>
    <row r="15" spans="1:17" s="349" customFormat="1" ht="30.75" customHeight="1">
      <c r="A15" s="360" t="s">
        <v>1522</v>
      </c>
      <c r="B15" s="206">
        <f t="shared" si="2"/>
        <v>973939277.05999994</v>
      </c>
      <c r="C15" s="210">
        <f t="shared" si="2"/>
        <v>1444352655.8899999</v>
      </c>
      <c r="D15" s="206">
        <v>906920887.10000002</v>
      </c>
      <c r="E15" s="207">
        <v>1332894577.0999999</v>
      </c>
      <c r="F15" s="207">
        <v>11997680.380000001</v>
      </c>
      <c r="G15" s="207">
        <v>10728481.99</v>
      </c>
      <c r="H15" s="207">
        <v>52580994.310000002</v>
      </c>
      <c r="I15" s="208">
        <f>73264993.61+47</f>
        <v>73265040.609999999</v>
      </c>
      <c r="J15" s="209">
        <v>492377.3</v>
      </c>
      <c r="K15" s="209">
        <v>25245678.969999999</v>
      </c>
      <c r="L15" s="206">
        <v>5824.5</v>
      </c>
      <c r="M15" s="207">
        <v>65824.5</v>
      </c>
      <c r="N15" s="207"/>
      <c r="O15" s="207"/>
      <c r="P15" s="207">
        <v>1941513.47</v>
      </c>
      <c r="Q15" s="210">
        <v>2153052.7200000002</v>
      </c>
    </row>
    <row r="16" spans="1:17" s="349" customFormat="1" ht="30.75" customHeight="1" thickBot="1">
      <c r="A16" s="362" t="s">
        <v>1523</v>
      </c>
      <c r="B16" s="363">
        <f t="shared" si="2"/>
        <v>291533733839.52002</v>
      </c>
      <c r="C16" s="364">
        <f t="shared" si="2"/>
        <v>362056885352.77008</v>
      </c>
      <c r="D16" s="363">
        <f>IF((D6-D13)='17.职工养老'!B17,D6-D13,0)</f>
        <v>225732104291.92001</v>
      </c>
      <c r="E16" s="365">
        <f>IF((E6-E13)='17.职工养老'!D17,E6-E13,0)</f>
        <v>279011422627.55005</v>
      </c>
      <c r="F16" s="365">
        <f>IF((F6-F13)='19.居民养老'!B18,F6-F13,0)</f>
        <v>43136184.43</v>
      </c>
      <c r="G16" s="365">
        <f>IF((G6-G13)='19.居民养老'!D18,G6-G13,0)</f>
        <v>41025225.450000003</v>
      </c>
      <c r="H16" s="365">
        <f>IF((H6-H13)='20.职工医疗'!B17,H6-H13,0)</f>
        <v>45193608566.020004</v>
      </c>
      <c r="I16" s="366">
        <f>IF((I6-I13)='20.职工医疗'!H17,I6-I13,0)</f>
        <v>54075384347.300003</v>
      </c>
      <c r="J16" s="367">
        <f>IF((J6-J13)='21.城乡居民医疗'!B17,J6-J13,0)</f>
        <v>1106460828.02</v>
      </c>
      <c r="K16" s="367">
        <f>IF((K6-K13)='21.城乡居民医疗'!D17,K6-K13,0)</f>
        <v>1417601274.0000002</v>
      </c>
      <c r="L16" s="363">
        <f>IF((L6-L13)='24.工伤'!B16,L6-L13,0)</f>
        <v>4615536821.4300003</v>
      </c>
      <c r="M16" s="365">
        <f>IF((M6-M13)='24.工伤'!D16,M6-M13,0)</f>
        <v>5155210048.0300007</v>
      </c>
      <c r="N16" s="365">
        <f>IF((N6-N13)='25.失业'!B20,N6-N13,0)</f>
        <v>11844467998.299999</v>
      </c>
      <c r="O16" s="365">
        <f>IF((O6-O13)='25.失业'!D20,O6-O13,0)</f>
        <v>17141887541.300001</v>
      </c>
      <c r="P16" s="365">
        <f>IF((P6-P13)='26.生育'!B15,P6-P13,0)</f>
        <v>2998419149.4000006</v>
      </c>
      <c r="Q16" s="364">
        <f>IF((Q6-Q13)='26.生育'!D15,Q6-Q13,0)</f>
        <v>5214354289.1400003</v>
      </c>
    </row>
    <row r="17" s="349" customFormat="1" ht="14.25" customHeight="1"/>
    <row r="18" s="349" customFormat="1" ht="14.25" customHeight="1"/>
    <row r="19" s="349" customFormat="1" ht="14.25" customHeight="1"/>
    <row r="20" s="349" customFormat="1" ht="14.25" customHeight="1"/>
    <row r="21" s="349" customFormat="1" ht="14.25" customHeight="1"/>
    <row r="22" s="349" customFormat="1" ht="14.25" customHeight="1"/>
    <row r="23" s="349" customFormat="1" ht="14.25" customHeight="1"/>
    <row r="24" s="349" customFormat="1" ht="14.25" customHeight="1"/>
    <row r="25" s="349" customFormat="1" ht="14.25" customHeight="1"/>
    <row r="26" s="349" customFormat="1" ht="14.25" customHeight="1"/>
    <row r="27" s="349" customFormat="1" ht="14.25" customHeight="1"/>
    <row r="28" s="349" customFormat="1" ht="14.25" customHeight="1"/>
    <row r="29" s="349" customFormat="1" ht="14.25" customHeight="1"/>
    <row r="30" s="349" customFormat="1" ht="14.25" customHeight="1"/>
    <row r="31" s="349" customFormat="1" ht="14.25" customHeight="1"/>
    <row r="32" s="349" customFormat="1" ht="14.25" customHeight="1"/>
    <row r="33" s="349" customFormat="1" ht="14.25" customHeight="1"/>
  </sheetData>
  <mergeCells count="13">
    <mergeCell ref="L4:M4"/>
    <mergeCell ref="N4:O4"/>
    <mergeCell ref="P4:Q4"/>
    <mergeCell ref="A1:Q1"/>
    <mergeCell ref="J2:K2"/>
    <mergeCell ref="P2:Q2"/>
    <mergeCell ref="P3:Q3"/>
    <mergeCell ref="A4:A5"/>
    <mergeCell ref="B4:C4"/>
    <mergeCell ref="D4:E4"/>
    <mergeCell ref="F4:G4"/>
    <mergeCell ref="H4:I4"/>
    <mergeCell ref="J4:K4"/>
  </mergeCells>
  <phoneticPr fontId="23" type="noConversion"/>
  <printOptions horizontalCentered="1" verticalCentered="1"/>
  <pageMargins left="0.31496062992125984" right="0.11811023622047245" top="0.78740157480314965" bottom="0.59055118110236227" header="0.51181102362204722" footer="0.51181102362204722"/>
  <pageSetup paperSize="9" scale="68" orientation="landscape" errors="blank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A3" sqref="A1:XFD1048576"/>
    </sheetView>
  </sheetViews>
  <sheetFormatPr defaultRowHeight="14.25" customHeight="1"/>
  <cols>
    <col min="1" max="1" width="37.25" style="368" customWidth="1"/>
    <col min="2" max="2" width="24.5" style="368" customWidth="1"/>
    <col min="3" max="3" width="37.25" style="368" customWidth="1"/>
    <col min="4" max="4" width="24.5" style="368" customWidth="1"/>
    <col min="5" max="256" width="9" style="368"/>
    <col min="257" max="257" width="37.25" style="368" customWidth="1"/>
    <col min="258" max="258" width="24.5" style="368" customWidth="1"/>
    <col min="259" max="259" width="37.25" style="368" customWidth="1"/>
    <col min="260" max="260" width="24.5" style="368" customWidth="1"/>
    <col min="261" max="512" width="9" style="368"/>
    <col min="513" max="513" width="37.25" style="368" customWidth="1"/>
    <col min="514" max="514" width="24.5" style="368" customWidth="1"/>
    <col min="515" max="515" width="37.25" style="368" customWidth="1"/>
    <col min="516" max="516" width="24.5" style="368" customWidth="1"/>
    <col min="517" max="768" width="9" style="368"/>
    <col min="769" max="769" width="37.25" style="368" customWidth="1"/>
    <col min="770" max="770" width="24.5" style="368" customWidth="1"/>
    <col min="771" max="771" width="37.25" style="368" customWidth="1"/>
    <col min="772" max="772" width="24.5" style="368" customWidth="1"/>
    <col min="773" max="1024" width="9" style="368"/>
    <col min="1025" max="1025" width="37.25" style="368" customWidth="1"/>
    <col min="1026" max="1026" width="24.5" style="368" customWidth="1"/>
    <col min="1027" max="1027" width="37.25" style="368" customWidth="1"/>
    <col min="1028" max="1028" width="24.5" style="368" customWidth="1"/>
    <col min="1029" max="1280" width="9" style="368"/>
    <col min="1281" max="1281" width="37.25" style="368" customWidth="1"/>
    <col min="1282" max="1282" width="24.5" style="368" customWidth="1"/>
    <col min="1283" max="1283" width="37.25" style="368" customWidth="1"/>
    <col min="1284" max="1284" width="24.5" style="368" customWidth="1"/>
    <col min="1285" max="1536" width="9" style="368"/>
    <col min="1537" max="1537" width="37.25" style="368" customWidth="1"/>
    <col min="1538" max="1538" width="24.5" style="368" customWidth="1"/>
    <col min="1539" max="1539" width="37.25" style="368" customWidth="1"/>
    <col min="1540" max="1540" width="24.5" style="368" customWidth="1"/>
    <col min="1541" max="1792" width="9" style="368"/>
    <col min="1793" max="1793" width="37.25" style="368" customWidth="1"/>
    <col min="1794" max="1794" width="24.5" style="368" customWidth="1"/>
    <col min="1795" max="1795" width="37.25" style="368" customWidth="1"/>
    <col min="1796" max="1796" width="24.5" style="368" customWidth="1"/>
    <col min="1797" max="2048" width="9" style="368"/>
    <col min="2049" max="2049" width="37.25" style="368" customWidth="1"/>
    <col min="2050" max="2050" width="24.5" style="368" customWidth="1"/>
    <col min="2051" max="2051" width="37.25" style="368" customWidth="1"/>
    <col min="2052" max="2052" width="24.5" style="368" customWidth="1"/>
    <col min="2053" max="2304" width="9" style="368"/>
    <col min="2305" max="2305" width="37.25" style="368" customWidth="1"/>
    <col min="2306" max="2306" width="24.5" style="368" customWidth="1"/>
    <col min="2307" max="2307" width="37.25" style="368" customWidth="1"/>
    <col min="2308" max="2308" width="24.5" style="368" customWidth="1"/>
    <col min="2309" max="2560" width="9" style="368"/>
    <col min="2561" max="2561" width="37.25" style="368" customWidth="1"/>
    <col min="2562" max="2562" width="24.5" style="368" customWidth="1"/>
    <col min="2563" max="2563" width="37.25" style="368" customWidth="1"/>
    <col min="2564" max="2564" width="24.5" style="368" customWidth="1"/>
    <col min="2565" max="2816" width="9" style="368"/>
    <col min="2817" max="2817" width="37.25" style="368" customWidth="1"/>
    <col min="2818" max="2818" width="24.5" style="368" customWidth="1"/>
    <col min="2819" max="2819" width="37.25" style="368" customWidth="1"/>
    <col min="2820" max="2820" width="24.5" style="368" customWidth="1"/>
    <col min="2821" max="3072" width="9" style="368"/>
    <col min="3073" max="3073" width="37.25" style="368" customWidth="1"/>
    <col min="3074" max="3074" width="24.5" style="368" customWidth="1"/>
    <col min="3075" max="3075" width="37.25" style="368" customWidth="1"/>
    <col min="3076" max="3076" width="24.5" style="368" customWidth="1"/>
    <col min="3077" max="3328" width="9" style="368"/>
    <col min="3329" max="3329" width="37.25" style="368" customWidth="1"/>
    <col min="3330" max="3330" width="24.5" style="368" customWidth="1"/>
    <col min="3331" max="3331" width="37.25" style="368" customWidth="1"/>
    <col min="3332" max="3332" width="24.5" style="368" customWidth="1"/>
    <col min="3333" max="3584" width="9" style="368"/>
    <col min="3585" max="3585" width="37.25" style="368" customWidth="1"/>
    <col min="3586" max="3586" width="24.5" style="368" customWidth="1"/>
    <col min="3587" max="3587" width="37.25" style="368" customWidth="1"/>
    <col min="3588" max="3588" width="24.5" style="368" customWidth="1"/>
    <col min="3589" max="3840" width="9" style="368"/>
    <col min="3841" max="3841" width="37.25" style="368" customWidth="1"/>
    <col min="3842" max="3842" width="24.5" style="368" customWidth="1"/>
    <col min="3843" max="3843" width="37.25" style="368" customWidth="1"/>
    <col min="3844" max="3844" width="24.5" style="368" customWidth="1"/>
    <col min="3845" max="4096" width="9" style="368"/>
    <col min="4097" max="4097" width="37.25" style="368" customWidth="1"/>
    <col min="4098" max="4098" width="24.5" style="368" customWidth="1"/>
    <col min="4099" max="4099" width="37.25" style="368" customWidth="1"/>
    <col min="4100" max="4100" width="24.5" style="368" customWidth="1"/>
    <col min="4101" max="4352" width="9" style="368"/>
    <col min="4353" max="4353" width="37.25" style="368" customWidth="1"/>
    <col min="4354" max="4354" width="24.5" style="368" customWidth="1"/>
    <col min="4355" max="4355" width="37.25" style="368" customWidth="1"/>
    <col min="4356" max="4356" width="24.5" style="368" customWidth="1"/>
    <col min="4357" max="4608" width="9" style="368"/>
    <col min="4609" max="4609" width="37.25" style="368" customWidth="1"/>
    <col min="4610" max="4610" width="24.5" style="368" customWidth="1"/>
    <col min="4611" max="4611" width="37.25" style="368" customWidth="1"/>
    <col min="4612" max="4612" width="24.5" style="368" customWidth="1"/>
    <col min="4613" max="4864" width="9" style="368"/>
    <col min="4865" max="4865" width="37.25" style="368" customWidth="1"/>
    <col min="4866" max="4866" width="24.5" style="368" customWidth="1"/>
    <col min="4867" max="4867" width="37.25" style="368" customWidth="1"/>
    <col min="4868" max="4868" width="24.5" style="368" customWidth="1"/>
    <col min="4869" max="5120" width="9" style="368"/>
    <col min="5121" max="5121" width="37.25" style="368" customWidth="1"/>
    <col min="5122" max="5122" width="24.5" style="368" customWidth="1"/>
    <col min="5123" max="5123" width="37.25" style="368" customWidth="1"/>
    <col min="5124" max="5124" width="24.5" style="368" customWidth="1"/>
    <col min="5125" max="5376" width="9" style="368"/>
    <col min="5377" max="5377" width="37.25" style="368" customWidth="1"/>
    <col min="5378" max="5378" width="24.5" style="368" customWidth="1"/>
    <col min="5379" max="5379" width="37.25" style="368" customWidth="1"/>
    <col min="5380" max="5380" width="24.5" style="368" customWidth="1"/>
    <col min="5381" max="5632" width="9" style="368"/>
    <col min="5633" max="5633" width="37.25" style="368" customWidth="1"/>
    <col min="5634" max="5634" width="24.5" style="368" customWidth="1"/>
    <col min="5635" max="5635" width="37.25" style="368" customWidth="1"/>
    <col min="5636" max="5636" width="24.5" style="368" customWidth="1"/>
    <col min="5637" max="5888" width="9" style="368"/>
    <col min="5889" max="5889" width="37.25" style="368" customWidth="1"/>
    <col min="5890" max="5890" width="24.5" style="368" customWidth="1"/>
    <col min="5891" max="5891" width="37.25" style="368" customWidth="1"/>
    <col min="5892" max="5892" width="24.5" style="368" customWidth="1"/>
    <col min="5893" max="6144" width="9" style="368"/>
    <col min="6145" max="6145" width="37.25" style="368" customWidth="1"/>
    <col min="6146" max="6146" width="24.5" style="368" customWidth="1"/>
    <col min="6147" max="6147" width="37.25" style="368" customWidth="1"/>
    <col min="6148" max="6148" width="24.5" style="368" customWidth="1"/>
    <col min="6149" max="6400" width="9" style="368"/>
    <col min="6401" max="6401" width="37.25" style="368" customWidth="1"/>
    <col min="6402" max="6402" width="24.5" style="368" customWidth="1"/>
    <col min="6403" max="6403" width="37.25" style="368" customWidth="1"/>
    <col min="6404" max="6404" width="24.5" style="368" customWidth="1"/>
    <col min="6405" max="6656" width="9" style="368"/>
    <col min="6657" max="6657" width="37.25" style="368" customWidth="1"/>
    <col min="6658" max="6658" width="24.5" style="368" customWidth="1"/>
    <col min="6659" max="6659" width="37.25" style="368" customWidth="1"/>
    <col min="6660" max="6660" width="24.5" style="368" customWidth="1"/>
    <col min="6661" max="6912" width="9" style="368"/>
    <col min="6913" max="6913" width="37.25" style="368" customWidth="1"/>
    <col min="6914" max="6914" width="24.5" style="368" customWidth="1"/>
    <col min="6915" max="6915" width="37.25" style="368" customWidth="1"/>
    <col min="6916" max="6916" width="24.5" style="368" customWidth="1"/>
    <col min="6917" max="7168" width="9" style="368"/>
    <col min="7169" max="7169" width="37.25" style="368" customWidth="1"/>
    <col min="7170" max="7170" width="24.5" style="368" customWidth="1"/>
    <col min="7171" max="7171" width="37.25" style="368" customWidth="1"/>
    <col min="7172" max="7172" width="24.5" style="368" customWidth="1"/>
    <col min="7173" max="7424" width="9" style="368"/>
    <col min="7425" max="7425" width="37.25" style="368" customWidth="1"/>
    <col min="7426" max="7426" width="24.5" style="368" customWidth="1"/>
    <col min="7427" max="7427" width="37.25" style="368" customWidth="1"/>
    <col min="7428" max="7428" width="24.5" style="368" customWidth="1"/>
    <col min="7429" max="7680" width="9" style="368"/>
    <col min="7681" max="7681" width="37.25" style="368" customWidth="1"/>
    <col min="7682" max="7682" width="24.5" style="368" customWidth="1"/>
    <col min="7683" max="7683" width="37.25" style="368" customWidth="1"/>
    <col min="7684" max="7684" width="24.5" style="368" customWidth="1"/>
    <col min="7685" max="7936" width="9" style="368"/>
    <col min="7937" max="7937" width="37.25" style="368" customWidth="1"/>
    <col min="7938" max="7938" width="24.5" style="368" customWidth="1"/>
    <col min="7939" max="7939" width="37.25" style="368" customWidth="1"/>
    <col min="7940" max="7940" width="24.5" style="368" customWidth="1"/>
    <col min="7941" max="8192" width="9" style="368"/>
    <col min="8193" max="8193" width="37.25" style="368" customWidth="1"/>
    <col min="8194" max="8194" width="24.5" style="368" customWidth="1"/>
    <col min="8195" max="8195" width="37.25" style="368" customWidth="1"/>
    <col min="8196" max="8196" width="24.5" style="368" customWidth="1"/>
    <col min="8197" max="8448" width="9" style="368"/>
    <col min="8449" max="8449" width="37.25" style="368" customWidth="1"/>
    <col min="8450" max="8450" width="24.5" style="368" customWidth="1"/>
    <col min="8451" max="8451" width="37.25" style="368" customWidth="1"/>
    <col min="8452" max="8452" width="24.5" style="368" customWidth="1"/>
    <col min="8453" max="8704" width="9" style="368"/>
    <col min="8705" max="8705" width="37.25" style="368" customWidth="1"/>
    <col min="8706" max="8706" width="24.5" style="368" customWidth="1"/>
    <col min="8707" max="8707" width="37.25" style="368" customWidth="1"/>
    <col min="8708" max="8708" width="24.5" style="368" customWidth="1"/>
    <col min="8709" max="8960" width="9" style="368"/>
    <col min="8961" max="8961" width="37.25" style="368" customWidth="1"/>
    <col min="8962" max="8962" width="24.5" style="368" customWidth="1"/>
    <col min="8963" max="8963" width="37.25" style="368" customWidth="1"/>
    <col min="8964" max="8964" width="24.5" style="368" customWidth="1"/>
    <col min="8965" max="9216" width="9" style="368"/>
    <col min="9217" max="9217" width="37.25" style="368" customWidth="1"/>
    <col min="9218" max="9218" width="24.5" style="368" customWidth="1"/>
    <col min="9219" max="9219" width="37.25" style="368" customWidth="1"/>
    <col min="9220" max="9220" width="24.5" style="368" customWidth="1"/>
    <col min="9221" max="9472" width="9" style="368"/>
    <col min="9473" max="9473" width="37.25" style="368" customWidth="1"/>
    <col min="9474" max="9474" width="24.5" style="368" customWidth="1"/>
    <col min="9475" max="9475" width="37.25" style="368" customWidth="1"/>
    <col min="9476" max="9476" width="24.5" style="368" customWidth="1"/>
    <col min="9477" max="9728" width="9" style="368"/>
    <col min="9729" max="9729" width="37.25" style="368" customWidth="1"/>
    <col min="9730" max="9730" width="24.5" style="368" customWidth="1"/>
    <col min="9731" max="9731" width="37.25" style="368" customWidth="1"/>
    <col min="9732" max="9732" width="24.5" style="368" customWidth="1"/>
    <col min="9733" max="9984" width="9" style="368"/>
    <col min="9985" max="9985" width="37.25" style="368" customWidth="1"/>
    <col min="9986" max="9986" width="24.5" style="368" customWidth="1"/>
    <col min="9987" max="9987" width="37.25" style="368" customWidth="1"/>
    <col min="9988" max="9988" width="24.5" style="368" customWidth="1"/>
    <col min="9989" max="10240" width="9" style="368"/>
    <col min="10241" max="10241" width="37.25" style="368" customWidth="1"/>
    <col min="10242" max="10242" width="24.5" style="368" customWidth="1"/>
    <col min="10243" max="10243" width="37.25" style="368" customWidth="1"/>
    <col min="10244" max="10244" width="24.5" style="368" customWidth="1"/>
    <col min="10245" max="10496" width="9" style="368"/>
    <col min="10497" max="10497" width="37.25" style="368" customWidth="1"/>
    <col min="10498" max="10498" width="24.5" style="368" customWidth="1"/>
    <col min="10499" max="10499" width="37.25" style="368" customWidth="1"/>
    <col min="10500" max="10500" width="24.5" style="368" customWidth="1"/>
    <col min="10501" max="10752" width="9" style="368"/>
    <col min="10753" max="10753" width="37.25" style="368" customWidth="1"/>
    <col min="10754" max="10754" width="24.5" style="368" customWidth="1"/>
    <col min="10755" max="10755" width="37.25" style="368" customWidth="1"/>
    <col min="10756" max="10756" width="24.5" style="368" customWidth="1"/>
    <col min="10757" max="11008" width="9" style="368"/>
    <col min="11009" max="11009" width="37.25" style="368" customWidth="1"/>
    <col min="11010" max="11010" width="24.5" style="368" customWidth="1"/>
    <col min="11011" max="11011" width="37.25" style="368" customWidth="1"/>
    <col min="11012" max="11012" width="24.5" style="368" customWidth="1"/>
    <col min="11013" max="11264" width="9" style="368"/>
    <col min="11265" max="11265" width="37.25" style="368" customWidth="1"/>
    <col min="11266" max="11266" width="24.5" style="368" customWidth="1"/>
    <col min="11267" max="11267" width="37.25" style="368" customWidth="1"/>
    <col min="11268" max="11268" width="24.5" style="368" customWidth="1"/>
    <col min="11269" max="11520" width="9" style="368"/>
    <col min="11521" max="11521" width="37.25" style="368" customWidth="1"/>
    <col min="11522" max="11522" width="24.5" style="368" customWidth="1"/>
    <col min="11523" max="11523" width="37.25" style="368" customWidth="1"/>
    <col min="11524" max="11524" width="24.5" style="368" customWidth="1"/>
    <col min="11525" max="11776" width="9" style="368"/>
    <col min="11777" max="11777" width="37.25" style="368" customWidth="1"/>
    <col min="11778" max="11778" width="24.5" style="368" customWidth="1"/>
    <col min="11779" max="11779" width="37.25" style="368" customWidth="1"/>
    <col min="11780" max="11780" width="24.5" style="368" customWidth="1"/>
    <col min="11781" max="12032" width="9" style="368"/>
    <col min="12033" max="12033" width="37.25" style="368" customWidth="1"/>
    <col min="12034" max="12034" width="24.5" style="368" customWidth="1"/>
    <col min="12035" max="12035" width="37.25" style="368" customWidth="1"/>
    <col min="12036" max="12036" width="24.5" style="368" customWidth="1"/>
    <col min="12037" max="12288" width="9" style="368"/>
    <col min="12289" max="12289" width="37.25" style="368" customWidth="1"/>
    <col min="12290" max="12290" width="24.5" style="368" customWidth="1"/>
    <col min="12291" max="12291" width="37.25" style="368" customWidth="1"/>
    <col min="12292" max="12292" width="24.5" style="368" customWidth="1"/>
    <col min="12293" max="12544" width="9" style="368"/>
    <col min="12545" max="12545" width="37.25" style="368" customWidth="1"/>
    <col min="12546" max="12546" width="24.5" style="368" customWidth="1"/>
    <col min="12547" max="12547" width="37.25" style="368" customWidth="1"/>
    <col min="12548" max="12548" width="24.5" style="368" customWidth="1"/>
    <col min="12549" max="12800" width="9" style="368"/>
    <col min="12801" max="12801" width="37.25" style="368" customWidth="1"/>
    <col min="12802" max="12802" width="24.5" style="368" customWidth="1"/>
    <col min="12803" max="12803" width="37.25" style="368" customWidth="1"/>
    <col min="12804" max="12804" width="24.5" style="368" customWidth="1"/>
    <col min="12805" max="13056" width="9" style="368"/>
    <col min="13057" max="13057" width="37.25" style="368" customWidth="1"/>
    <col min="13058" max="13058" width="24.5" style="368" customWidth="1"/>
    <col min="13059" max="13059" width="37.25" style="368" customWidth="1"/>
    <col min="13060" max="13060" width="24.5" style="368" customWidth="1"/>
    <col min="13061" max="13312" width="9" style="368"/>
    <col min="13313" max="13313" width="37.25" style="368" customWidth="1"/>
    <col min="13314" max="13314" width="24.5" style="368" customWidth="1"/>
    <col min="13315" max="13315" width="37.25" style="368" customWidth="1"/>
    <col min="13316" max="13316" width="24.5" style="368" customWidth="1"/>
    <col min="13317" max="13568" width="9" style="368"/>
    <col min="13569" max="13569" width="37.25" style="368" customWidth="1"/>
    <col min="13570" max="13570" width="24.5" style="368" customWidth="1"/>
    <col min="13571" max="13571" width="37.25" style="368" customWidth="1"/>
    <col min="13572" max="13572" width="24.5" style="368" customWidth="1"/>
    <col min="13573" max="13824" width="9" style="368"/>
    <col min="13825" max="13825" width="37.25" style="368" customWidth="1"/>
    <col min="13826" max="13826" width="24.5" style="368" customWidth="1"/>
    <col min="13827" max="13827" width="37.25" style="368" customWidth="1"/>
    <col min="13828" max="13828" width="24.5" style="368" customWidth="1"/>
    <col min="13829" max="14080" width="9" style="368"/>
    <col min="14081" max="14081" width="37.25" style="368" customWidth="1"/>
    <col min="14082" max="14082" width="24.5" style="368" customWidth="1"/>
    <col min="14083" max="14083" width="37.25" style="368" customWidth="1"/>
    <col min="14084" max="14084" width="24.5" style="368" customWidth="1"/>
    <col min="14085" max="14336" width="9" style="368"/>
    <col min="14337" max="14337" width="37.25" style="368" customWidth="1"/>
    <col min="14338" max="14338" width="24.5" style="368" customWidth="1"/>
    <col min="14339" max="14339" width="37.25" style="368" customWidth="1"/>
    <col min="14340" max="14340" width="24.5" style="368" customWidth="1"/>
    <col min="14341" max="14592" width="9" style="368"/>
    <col min="14593" max="14593" width="37.25" style="368" customWidth="1"/>
    <col min="14594" max="14594" width="24.5" style="368" customWidth="1"/>
    <col min="14595" max="14595" width="37.25" style="368" customWidth="1"/>
    <col min="14596" max="14596" width="24.5" style="368" customWidth="1"/>
    <col min="14597" max="14848" width="9" style="368"/>
    <col min="14849" max="14849" width="37.25" style="368" customWidth="1"/>
    <col min="14850" max="14850" width="24.5" style="368" customWidth="1"/>
    <col min="14851" max="14851" width="37.25" style="368" customWidth="1"/>
    <col min="14852" max="14852" width="24.5" style="368" customWidth="1"/>
    <col min="14853" max="15104" width="9" style="368"/>
    <col min="15105" max="15105" width="37.25" style="368" customWidth="1"/>
    <col min="15106" max="15106" width="24.5" style="368" customWidth="1"/>
    <col min="15107" max="15107" width="37.25" style="368" customWidth="1"/>
    <col min="15108" max="15108" width="24.5" style="368" customWidth="1"/>
    <col min="15109" max="15360" width="9" style="368"/>
    <col min="15361" max="15361" width="37.25" style="368" customWidth="1"/>
    <col min="15362" max="15362" width="24.5" style="368" customWidth="1"/>
    <col min="15363" max="15363" width="37.25" style="368" customWidth="1"/>
    <col min="15364" max="15364" width="24.5" style="368" customWidth="1"/>
    <col min="15365" max="15616" width="9" style="368"/>
    <col min="15617" max="15617" width="37.25" style="368" customWidth="1"/>
    <col min="15618" max="15618" width="24.5" style="368" customWidth="1"/>
    <col min="15619" max="15619" width="37.25" style="368" customWidth="1"/>
    <col min="15620" max="15620" width="24.5" style="368" customWidth="1"/>
    <col min="15621" max="15872" width="9" style="368"/>
    <col min="15873" max="15873" width="37.25" style="368" customWidth="1"/>
    <col min="15874" max="15874" width="24.5" style="368" customWidth="1"/>
    <col min="15875" max="15875" width="37.25" style="368" customWidth="1"/>
    <col min="15876" max="15876" width="24.5" style="368" customWidth="1"/>
    <col min="15877" max="16128" width="9" style="368"/>
    <col min="16129" max="16129" width="37.25" style="368" customWidth="1"/>
    <col min="16130" max="16130" width="24.5" style="368" customWidth="1"/>
    <col min="16131" max="16131" width="37.25" style="368" customWidth="1"/>
    <col min="16132" max="16132" width="24.5" style="368" customWidth="1"/>
    <col min="16133" max="16384" width="9" style="368"/>
  </cols>
  <sheetData>
    <row r="1" spans="1:4" ht="36.75" customHeight="1">
      <c r="A1" s="722" t="s">
        <v>1524</v>
      </c>
      <c r="B1" s="722"/>
      <c r="C1" s="722"/>
      <c r="D1" s="722"/>
    </row>
    <row r="2" spans="1:4" ht="18.75" customHeight="1">
      <c r="A2" s="369"/>
      <c r="B2" s="370"/>
      <c r="C2" s="369"/>
      <c r="D2" s="371" t="s">
        <v>1525</v>
      </c>
    </row>
    <row r="3" spans="1:4" ht="18.75" customHeight="1" thickBot="1">
      <c r="A3" s="343" t="s">
        <v>1526</v>
      </c>
      <c r="B3" s="371"/>
      <c r="C3" s="372"/>
      <c r="D3" s="371" t="s">
        <v>1527</v>
      </c>
    </row>
    <row r="4" spans="1:4" ht="27" customHeight="1" thickBot="1">
      <c r="A4" s="239" t="s">
        <v>1528</v>
      </c>
      <c r="B4" s="373" t="s">
        <v>1529</v>
      </c>
      <c r="C4" s="255" t="s">
        <v>1528</v>
      </c>
      <c r="D4" s="373" t="s">
        <v>1529</v>
      </c>
    </row>
    <row r="5" spans="1:4" ht="24" customHeight="1">
      <c r="A5" s="374" t="s">
        <v>1530</v>
      </c>
      <c r="B5" s="216">
        <v>60971005810.730003</v>
      </c>
      <c r="C5" s="256" t="s">
        <v>1531</v>
      </c>
      <c r="D5" s="216">
        <v>10584065122.200001</v>
      </c>
    </row>
    <row r="6" spans="1:4" ht="24" customHeight="1">
      <c r="A6" s="244" t="s">
        <v>1532</v>
      </c>
      <c r="B6" s="217">
        <v>8198204388.5200005</v>
      </c>
      <c r="C6" s="250" t="s">
        <v>1533</v>
      </c>
      <c r="D6" s="217">
        <v>106145924</v>
      </c>
    </row>
    <row r="7" spans="1:4" ht="24" customHeight="1">
      <c r="A7" s="244" t="s">
        <v>1534</v>
      </c>
      <c r="B7" s="217"/>
      <c r="C7" s="250" t="s">
        <v>1535</v>
      </c>
      <c r="D7" s="217">
        <v>1019516596.64</v>
      </c>
    </row>
    <row r="8" spans="1:4" ht="24" customHeight="1">
      <c r="A8" s="244" t="s">
        <v>1536</v>
      </c>
      <c r="B8" s="217">
        <v>37196328.829999998</v>
      </c>
      <c r="C8" s="250" t="s">
        <v>1537</v>
      </c>
      <c r="D8" s="217">
        <v>234042119</v>
      </c>
    </row>
    <row r="9" spans="1:4" ht="24" customHeight="1">
      <c r="A9" s="244" t="s">
        <v>1538</v>
      </c>
      <c r="B9" s="217"/>
      <c r="C9" s="250" t="s">
        <v>1539</v>
      </c>
      <c r="D9" s="217">
        <v>6751859</v>
      </c>
    </row>
    <row r="10" spans="1:4" ht="24" customHeight="1">
      <c r="A10" s="244" t="s">
        <v>1540</v>
      </c>
      <c r="B10" s="217">
        <v>37186937.560000002</v>
      </c>
      <c r="C10" s="375" t="s">
        <v>1541</v>
      </c>
      <c r="D10" s="258" t="s">
        <v>1542</v>
      </c>
    </row>
    <row r="11" spans="1:4" ht="24" customHeight="1">
      <c r="A11" s="244" t="s">
        <v>1543</v>
      </c>
      <c r="B11" s="217">
        <v>229716859.5</v>
      </c>
      <c r="C11" s="250" t="s">
        <v>1544</v>
      </c>
      <c r="D11" s="217">
        <v>1929880655.1099999</v>
      </c>
    </row>
    <row r="12" spans="1:4" ht="24" customHeight="1">
      <c r="A12" s="244" t="s">
        <v>1545</v>
      </c>
      <c r="B12" s="217">
        <f>B5+B6+B7+B8+B11</f>
        <v>69436123387.580002</v>
      </c>
      <c r="C12" s="250" t="s">
        <v>1546</v>
      </c>
      <c r="D12" s="217">
        <f>D5+D7+D8+D9+D11</f>
        <v>13774256351.950001</v>
      </c>
    </row>
    <row r="13" spans="1:4" ht="24" customHeight="1">
      <c r="A13" s="244" t="s">
        <v>1547</v>
      </c>
      <c r="B13" s="217">
        <v>463200000</v>
      </c>
      <c r="C13" s="250" t="s">
        <v>1548</v>
      </c>
      <c r="D13" s="217"/>
    </row>
    <row r="14" spans="1:4" ht="24" customHeight="1">
      <c r="A14" s="244" t="s">
        <v>1549</v>
      </c>
      <c r="B14" s="217"/>
      <c r="C14" s="250" t="s">
        <v>1550</v>
      </c>
      <c r="D14" s="217">
        <v>2845748700</v>
      </c>
    </row>
    <row r="15" spans="1:4" ht="24" customHeight="1">
      <c r="A15" s="244" t="s">
        <v>1551</v>
      </c>
      <c r="B15" s="217">
        <f>SUM(B12:B14)</f>
        <v>69899323387.580002</v>
      </c>
      <c r="C15" s="250" t="s">
        <v>1552</v>
      </c>
      <c r="D15" s="217">
        <f>SUM(D12:D14)</f>
        <v>16620005051.950001</v>
      </c>
    </row>
    <row r="16" spans="1:4" ht="24" customHeight="1">
      <c r="A16" s="332" t="s">
        <v>1542</v>
      </c>
      <c r="B16" s="258" t="s">
        <v>1542</v>
      </c>
      <c r="C16" s="250" t="s">
        <v>1553</v>
      </c>
      <c r="D16" s="217">
        <f>B15-D15</f>
        <v>53279318335.630005</v>
      </c>
    </row>
    <row r="17" spans="1:4" ht="24" customHeight="1" thickBot="1">
      <c r="A17" s="376" t="s">
        <v>1554</v>
      </c>
      <c r="B17" s="217">
        <v>225732104291.92001</v>
      </c>
      <c r="C17" s="377" t="s">
        <v>1555</v>
      </c>
      <c r="D17" s="260">
        <f>B17+D16</f>
        <v>279011422627.55005</v>
      </c>
    </row>
    <row r="18" spans="1:4" ht="27" customHeight="1" thickBot="1">
      <c r="A18" s="239" t="s">
        <v>1556</v>
      </c>
      <c r="B18" s="378">
        <f>B15+B17</f>
        <v>295631427679.5</v>
      </c>
      <c r="C18" s="255" t="s">
        <v>1556</v>
      </c>
      <c r="D18" s="378">
        <f>D15+D17</f>
        <v>295631427679.50006</v>
      </c>
    </row>
  </sheetData>
  <mergeCells count="1">
    <mergeCell ref="A1:D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orientation="landscape" errors="blank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A3" sqref="A1:XFD1048576"/>
    </sheetView>
  </sheetViews>
  <sheetFormatPr defaultRowHeight="14.25" customHeight="1"/>
  <cols>
    <col min="1" max="1" width="37.25" style="368" customWidth="1"/>
    <col min="2" max="2" width="24.5" style="368" customWidth="1"/>
    <col min="3" max="3" width="37.25" style="368" customWidth="1"/>
    <col min="4" max="4" width="24.5" style="368" customWidth="1"/>
    <col min="5" max="256" width="9" style="368"/>
    <col min="257" max="257" width="37.25" style="368" customWidth="1"/>
    <col min="258" max="258" width="24.5" style="368" customWidth="1"/>
    <col min="259" max="259" width="37.25" style="368" customWidth="1"/>
    <col min="260" max="260" width="24.5" style="368" customWidth="1"/>
    <col min="261" max="512" width="9" style="368"/>
    <col min="513" max="513" width="37.25" style="368" customWidth="1"/>
    <col min="514" max="514" width="24.5" style="368" customWidth="1"/>
    <col min="515" max="515" width="37.25" style="368" customWidth="1"/>
    <col min="516" max="516" width="24.5" style="368" customWidth="1"/>
    <col min="517" max="768" width="9" style="368"/>
    <col min="769" max="769" width="37.25" style="368" customWidth="1"/>
    <col min="770" max="770" width="24.5" style="368" customWidth="1"/>
    <col min="771" max="771" width="37.25" style="368" customWidth="1"/>
    <col min="772" max="772" width="24.5" style="368" customWidth="1"/>
    <col min="773" max="1024" width="9" style="368"/>
    <col min="1025" max="1025" width="37.25" style="368" customWidth="1"/>
    <col min="1026" max="1026" width="24.5" style="368" customWidth="1"/>
    <col min="1027" max="1027" width="37.25" style="368" customWidth="1"/>
    <col min="1028" max="1028" width="24.5" style="368" customWidth="1"/>
    <col min="1029" max="1280" width="9" style="368"/>
    <col min="1281" max="1281" width="37.25" style="368" customWidth="1"/>
    <col min="1282" max="1282" width="24.5" style="368" customWidth="1"/>
    <col min="1283" max="1283" width="37.25" style="368" customWidth="1"/>
    <col min="1284" max="1284" width="24.5" style="368" customWidth="1"/>
    <col min="1285" max="1536" width="9" style="368"/>
    <col min="1537" max="1537" width="37.25" style="368" customWidth="1"/>
    <col min="1538" max="1538" width="24.5" style="368" customWidth="1"/>
    <col min="1539" max="1539" width="37.25" style="368" customWidth="1"/>
    <col min="1540" max="1540" width="24.5" style="368" customWidth="1"/>
    <col min="1541" max="1792" width="9" style="368"/>
    <col min="1793" max="1793" width="37.25" style="368" customWidth="1"/>
    <col min="1794" max="1794" width="24.5" style="368" customWidth="1"/>
    <col min="1795" max="1795" width="37.25" style="368" customWidth="1"/>
    <col min="1796" max="1796" width="24.5" style="368" customWidth="1"/>
    <col min="1797" max="2048" width="9" style="368"/>
    <col min="2049" max="2049" width="37.25" style="368" customWidth="1"/>
    <col min="2050" max="2050" width="24.5" style="368" customWidth="1"/>
    <col min="2051" max="2051" width="37.25" style="368" customWidth="1"/>
    <col min="2052" max="2052" width="24.5" style="368" customWidth="1"/>
    <col min="2053" max="2304" width="9" style="368"/>
    <col min="2305" max="2305" width="37.25" style="368" customWidth="1"/>
    <col min="2306" max="2306" width="24.5" style="368" customWidth="1"/>
    <col min="2307" max="2307" width="37.25" style="368" customWidth="1"/>
    <col min="2308" max="2308" width="24.5" style="368" customWidth="1"/>
    <col min="2309" max="2560" width="9" style="368"/>
    <col min="2561" max="2561" width="37.25" style="368" customWidth="1"/>
    <col min="2562" max="2562" width="24.5" style="368" customWidth="1"/>
    <col min="2563" max="2563" width="37.25" style="368" customWidth="1"/>
    <col min="2564" max="2564" width="24.5" style="368" customWidth="1"/>
    <col min="2565" max="2816" width="9" style="368"/>
    <col min="2817" max="2817" width="37.25" style="368" customWidth="1"/>
    <col min="2818" max="2818" width="24.5" style="368" customWidth="1"/>
    <col min="2819" max="2819" width="37.25" style="368" customWidth="1"/>
    <col min="2820" max="2820" width="24.5" style="368" customWidth="1"/>
    <col min="2821" max="3072" width="9" style="368"/>
    <col min="3073" max="3073" width="37.25" style="368" customWidth="1"/>
    <col min="3074" max="3074" width="24.5" style="368" customWidth="1"/>
    <col min="3075" max="3075" width="37.25" style="368" customWidth="1"/>
    <col min="3076" max="3076" width="24.5" style="368" customWidth="1"/>
    <col min="3077" max="3328" width="9" style="368"/>
    <col min="3329" max="3329" width="37.25" style="368" customWidth="1"/>
    <col min="3330" max="3330" width="24.5" style="368" customWidth="1"/>
    <col min="3331" max="3331" width="37.25" style="368" customWidth="1"/>
    <col min="3332" max="3332" width="24.5" style="368" customWidth="1"/>
    <col min="3333" max="3584" width="9" style="368"/>
    <col min="3585" max="3585" width="37.25" style="368" customWidth="1"/>
    <col min="3586" max="3586" width="24.5" style="368" customWidth="1"/>
    <col min="3587" max="3587" width="37.25" style="368" customWidth="1"/>
    <col min="3588" max="3588" width="24.5" style="368" customWidth="1"/>
    <col min="3589" max="3840" width="9" style="368"/>
    <col min="3841" max="3841" width="37.25" style="368" customWidth="1"/>
    <col min="3842" max="3842" width="24.5" style="368" customWidth="1"/>
    <col min="3843" max="3843" width="37.25" style="368" customWidth="1"/>
    <col min="3844" max="3844" width="24.5" style="368" customWidth="1"/>
    <col min="3845" max="4096" width="9" style="368"/>
    <col min="4097" max="4097" width="37.25" style="368" customWidth="1"/>
    <col min="4098" max="4098" width="24.5" style="368" customWidth="1"/>
    <col min="4099" max="4099" width="37.25" style="368" customWidth="1"/>
    <col min="4100" max="4100" width="24.5" style="368" customWidth="1"/>
    <col min="4101" max="4352" width="9" style="368"/>
    <col min="4353" max="4353" width="37.25" style="368" customWidth="1"/>
    <col min="4354" max="4354" width="24.5" style="368" customWidth="1"/>
    <col min="4355" max="4355" width="37.25" style="368" customWidth="1"/>
    <col min="4356" max="4356" width="24.5" style="368" customWidth="1"/>
    <col min="4357" max="4608" width="9" style="368"/>
    <col min="4609" max="4609" width="37.25" style="368" customWidth="1"/>
    <col min="4610" max="4610" width="24.5" style="368" customWidth="1"/>
    <col min="4611" max="4611" width="37.25" style="368" customWidth="1"/>
    <col min="4612" max="4612" width="24.5" style="368" customWidth="1"/>
    <col min="4613" max="4864" width="9" style="368"/>
    <col min="4865" max="4865" width="37.25" style="368" customWidth="1"/>
    <col min="4866" max="4866" width="24.5" style="368" customWidth="1"/>
    <col min="4867" max="4867" width="37.25" style="368" customWidth="1"/>
    <col min="4868" max="4868" width="24.5" style="368" customWidth="1"/>
    <col min="4869" max="5120" width="9" style="368"/>
    <col min="5121" max="5121" width="37.25" style="368" customWidth="1"/>
    <col min="5122" max="5122" width="24.5" style="368" customWidth="1"/>
    <col min="5123" max="5123" width="37.25" style="368" customWidth="1"/>
    <col min="5124" max="5124" width="24.5" style="368" customWidth="1"/>
    <col min="5125" max="5376" width="9" style="368"/>
    <col min="5377" max="5377" width="37.25" style="368" customWidth="1"/>
    <col min="5378" max="5378" width="24.5" style="368" customWidth="1"/>
    <col min="5379" max="5379" width="37.25" style="368" customWidth="1"/>
    <col min="5380" max="5380" width="24.5" style="368" customWidth="1"/>
    <col min="5381" max="5632" width="9" style="368"/>
    <col min="5633" max="5633" width="37.25" style="368" customWidth="1"/>
    <col min="5634" max="5634" width="24.5" style="368" customWidth="1"/>
    <col min="5635" max="5635" width="37.25" style="368" customWidth="1"/>
    <col min="5636" max="5636" width="24.5" style="368" customWidth="1"/>
    <col min="5637" max="5888" width="9" style="368"/>
    <col min="5889" max="5889" width="37.25" style="368" customWidth="1"/>
    <col min="5890" max="5890" width="24.5" style="368" customWidth="1"/>
    <col min="5891" max="5891" width="37.25" style="368" customWidth="1"/>
    <col min="5892" max="5892" width="24.5" style="368" customWidth="1"/>
    <col min="5893" max="6144" width="9" style="368"/>
    <col min="6145" max="6145" width="37.25" style="368" customWidth="1"/>
    <col min="6146" max="6146" width="24.5" style="368" customWidth="1"/>
    <col min="6147" max="6147" width="37.25" style="368" customWidth="1"/>
    <col min="6148" max="6148" width="24.5" style="368" customWidth="1"/>
    <col min="6149" max="6400" width="9" style="368"/>
    <col min="6401" max="6401" width="37.25" style="368" customWidth="1"/>
    <col min="6402" max="6402" width="24.5" style="368" customWidth="1"/>
    <col min="6403" max="6403" width="37.25" style="368" customWidth="1"/>
    <col min="6404" max="6404" width="24.5" style="368" customWidth="1"/>
    <col min="6405" max="6656" width="9" style="368"/>
    <col min="6657" max="6657" width="37.25" style="368" customWidth="1"/>
    <col min="6658" max="6658" width="24.5" style="368" customWidth="1"/>
    <col min="6659" max="6659" width="37.25" style="368" customWidth="1"/>
    <col min="6660" max="6660" width="24.5" style="368" customWidth="1"/>
    <col min="6661" max="6912" width="9" style="368"/>
    <col min="6913" max="6913" width="37.25" style="368" customWidth="1"/>
    <col min="6914" max="6914" width="24.5" style="368" customWidth="1"/>
    <col min="6915" max="6915" width="37.25" style="368" customWidth="1"/>
    <col min="6916" max="6916" width="24.5" style="368" customWidth="1"/>
    <col min="6917" max="7168" width="9" style="368"/>
    <col min="7169" max="7169" width="37.25" style="368" customWidth="1"/>
    <col min="7170" max="7170" width="24.5" style="368" customWidth="1"/>
    <col min="7171" max="7171" width="37.25" style="368" customWidth="1"/>
    <col min="7172" max="7172" width="24.5" style="368" customWidth="1"/>
    <col min="7173" max="7424" width="9" style="368"/>
    <col min="7425" max="7425" width="37.25" style="368" customWidth="1"/>
    <col min="7426" max="7426" width="24.5" style="368" customWidth="1"/>
    <col min="7427" max="7427" width="37.25" style="368" customWidth="1"/>
    <col min="7428" max="7428" width="24.5" style="368" customWidth="1"/>
    <col min="7429" max="7680" width="9" style="368"/>
    <col min="7681" max="7681" width="37.25" style="368" customWidth="1"/>
    <col min="7682" max="7682" width="24.5" style="368" customWidth="1"/>
    <col min="7683" max="7683" width="37.25" style="368" customWidth="1"/>
    <col min="7684" max="7684" width="24.5" style="368" customWidth="1"/>
    <col min="7685" max="7936" width="9" style="368"/>
    <col min="7937" max="7937" width="37.25" style="368" customWidth="1"/>
    <col min="7938" max="7938" width="24.5" style="368" customWidth="1"/>
    <col min="7939" max="7939" width="37.25" style="368" customWidth="1"/>
    <col min="7940" max="7940" width="24.5" style="368" customWidth="1"/>
    <col min="7941" max="8192" width="9" style="368"/>
    <col min="8193" max="8193" width="37.25" style="368" customWidth="1"/>
    <col min="8194" max="8194" width="24.5" style="368" customWidth="1"/>
    <col min="8195" max="8195" width="37.25" style="368" customWidth="1"/>
    <col min="8196" max="8196" width="24.5" style="368" customWidth="1"/>
    <col min="8197" max="8448" width="9" style="368"/>
    <col min="8449" max="8449" width="37.25" style="368" customWidth="1"/>
    <col min="8450" max="8450" width="24.5" style="368" customWidth="1"/>
    <col min="8451" max="8451" width="37.25" style="368" customWidth="1"/>
    <col min="8452" max="8452" width="24.5" style="368" customWidth="1"/>
    <col min="8453" max="8704" width="9" style="368"/>
    <col min="8705" max="8705" width="37.25" style="368" customWidth="1"/>
    <col min="8706" max="8706" width="24.5" style="368" customWidth="1"/>
    <col min="8707" max="8707" width="37.25" style="368" customWidth="1"/>
    <col min="8708" max="8708" width="24.5" style="368" customWidth="1"/>
    <col min="8709" max="8960" width="9" style="368"/>
    <col min="8961" max="8961" width="37.25" style="368" customWidth="1"/>
    <col min="8962" max="8962" width="24.5" style="368" customWidth="1"/>
    <col min="8963" max="8963" width="37.25" style="368" customWidth="1"/>
    <col min="8964" max="8964" width="24.5" style="368" customWidth="1"/>
    <col min="8965" max="9216" width="9" style="368"/>
    <col min="9217" max="9217" width="37.25" style="368" customWidth="1"/>
    <col min="9218" max="9218" width="24.5" style="368" customWidth="1"/>
    <col min="9219" max="9219" width="37.25" style="368" customWidth="1"/>
    <col min="9220" max="9220" width="24.5" style="368" customWidth="1"/>
    <col min="9221" max="9472" width="9" style="368"/>
    <col min="9473" max="9473" width="37.25" style="368" customWidth="1"/>
    <col min="9474" max="9474" width="24.5" style="368" customWidth="1"/>
    <col min="9475" max="9475" width="37.25" style="368" customWidth="1"/>
    <col min="9476" max="9476" width="24.5" style="368" customWidth="1"/>
    <col min="9477" max="9728" width="9" style="368"/>
    <col min="9729" max="9729" width="37.25" style="368" customWidth="1"/>
    <col min="9730" max="9730" width="24.5" style="368" customWidth="1"/>
    <col min="9731" max="9731" width="37.25" style="368" customWidth="1"/>
    <col min="9732" max="9732" width="24.5" style="368" customWidth="1"/>
    <col min="9733" max="9984" width="9" style="368"/>
    <col min="9985" max="9985" width="37.25" style="368" customWidth="1"/>
    <col min="9986" max="9986" width="24.5" style="368" customWidth="1"/>
    <col min="9987" max="9987" width="37.25" style="368" customWidth="1"/>
    <col min="9988" max="9988" width="24.5" style="368" customWidth="1"/>
    <col min="9989" max="10240" width="9" style="368"/>
    <col min="10241" max="10241" width="37.25" style="368" customWidth="1"/>
    <col min="10242" max="10242" width="24.5" style="368" customWidth="1"/>
    <col min="10243" max="10243" width="37.25" style="368" customWidth="1"/>
    <col min="10244" max="10244" width="24.5" style="368" customWidth="1"/>
    <col min="10245" max="10496" width="9" style="368"/>
    <col min="10497" max="10497" width="37.25" style="368" customWidth="1"/>
    <col min="10498" max="10498" width="24.5" style="368" customWidth="1"/>
    <col min="10499" max="10499" width="37.25" style="368" customWidth="1"/>
    <col min="10500" max="10500" width="24.5" style="368" customWidth="1"/>
    <col min="10501" max="10752" width="9" style="368"/>
    <col min="10753" max="10753" width="37.25" style="368" customWidth="1"/>
    <col min="10754" max="10754" width="24.5" style="368" customWidth="1"/>
    <col min="10755" max="10755" width="37.25" style="368" customWidth="1"/>
    <col min="10756" max="10756" width="24.5" style="368" customWidth="1"/>
    <col min="10757" max="11008" width="9" style="368"/>
    <col min="11009" max="11009" width="37.25" style="368" customWidth="1"/>
    <col min="11010" max="11010" width="24.5" style="368" customWidth="1"/>
    <col min="11011" max="11011" width="37.25" style="368" customWidth="1"/>
    <col min="11012" max="11012" width="24.5" style="368" customWidth="1"/>
    <col min="11013" max="11264" width="9" style="368"/>
    <col min="11265" max="11265" width="37.25" style="368" customWidth="1"/>
    <col min="11266" max="11266" width="24.5" style="368" customWidth="1"/>
    <col min="11267" max="11267" width="37.25" style="368" customWidth="1"/>
    <col min="11268" max="11268" width="24.5" style="368" customWidth="1"/>
    <col min="11269" max="11520" width="9" style="368"/>
    <col min="11521" max="11521" width="37.25" style="368" customWidth="1"/>
    <col min="11522" max="11522" width="24.5" style="368" customWidth="1"/>
    <col min="11523" max="11523" width="37.25" style="368" customWidth="1"/>
    <col min="11524" max="11524" width="24.5" style="368" customWidth="1"/>
    <col min="11525" max="11776" width="9" style="368"/>
    <col min="11777" max="11777" width="37.25" style="368" customWidth="1"/>
    <col min="11778" max="11778" width="24.5" style="368" customWidth="1"/>
    <col min="11779" max="11779" width="37.25" style="368" customWidth="1"/>
    <col min="11780" max="11780" width="24.5" style="368" customWidth="1"/>
    <col min="11781" max="12032" width="9" style="368"/>
    <col min="12033" max="12033" width="37.25" style="368" customWidth="1"/>
    <col min="12034" max="12034" width="24.5" style="368" customWidth="1"/>
    <col min="12035" max="12035" width="37.25" style="368" customWidth="1"/>
    <col min="12036" max="12036" width="24.5" style="368" customWidth="1"/>
    <col min="12037" max="12288" width="9" style="368"/>
    <col min="12289" max="12289" width="37.25" style="368" customWidth="1"/>
    <col min="12290" max="12290" width="24.5" style="368" customWidth="1"/>
    <col min="12291" max="12291" width="37.25" style="368" customWidth="1"/>
    <col min="12292" max="12292" width="24.5" style="368" customWidth="1"/>
    <col min="12293" max="12544" width="9" style="368"/>
    <col min="12545" max="12545" width="37.25" style="368" customWidth="1"/>
    <col min="12546" max="12546" width="24.5" style="368" customWidth="1"/>
    <col min="12547" max="12547" width="37.25" style="368" customWidth="1"/>
    <col min="12548" max="12548" width="24.5" style="368" customWidth="1"/>
    <col min="12549" max="12800" width="9" style="368"/>
    <col min="12801" max="12801" width="37.25" style="368" customWidth="1"/>
    <col min="12802" max="12802" width="24.5" style="368" customWidth="1"/>
    <col min="12803" max="12803" width="37.25" style="368" customWidth="1"/>
    <col min="12804" max="12804" width="24.5" style="368" customWidth="1"/>
    <col min="12805" max="13056" width="9" style="368"/>
    <col min="13057" max="13057" width="37.25" style="368" customWidth="1"/>
    <col min="13058" max="13058" width="24.5" style="368" customWidth="1"/>
    <col min="13059" max="13059" width="37.25" style="368" customWidth="1"/>
    <col min="13060" max="13060" width="24.5" style="368" customWidth="1"/>
    <col min="13061" max="13312" width="9" style="368"/>
    <col min="13313" max="13313" width="37.25" style="368" customWidth="1"/>
    <col min="13314" max="13314" width="24.5" style="368" customWidth="1"/>
    <col min="13315" max="13315" width="37.25" style="368" customWidth="1"/>
    <col min="13316" max="13316" width="24.5" style="368" customWidth="1"/>
    <col min="13317" max="13568" width="9" style="368"/>
    <col min="13569" max="13569" width="37.25" style="368" customWidth="1"/>
    <col min="13570" max="13570" width="24.5" style="368" customWidth="1"/>
    <col min="13571" max="13571" width="37.25" style="368" customWidth="1"/>
    <col min="13572" max="13572" width="24.5" style="368" customWidth="1"/>
    <col min="13573" max="13824" width="9" style="368"/>
    <col min="13825" max="13825" width="37.25" style="368" customWidth="1"/>
    <col min="13826" max="13826" width="24.5" style="368" customWidth="1"/>
    <col min="13827" max="13827" width="37.25" style="368" customWidth="1"/>
    <col min="13828" max="13828" width="24.5" style="368" customWidth="1"/>
    <col min="13829" max="14080" width="9" style="368"/>
    <col min="14081" max="14081" width="37.25" style="368" customWidth="1"/>
    <col min="14082" max="14082" width="24.5" style="368" customWidth="1"/>
    <col min="14083" max="14083" width="37.25" style="368" customWidth="1"/>
    <col min="14084" max="14084" width="24.5" style="368" customWidth="1"/>
    <col min="14085" max="14336" width="9" style="368"/>
    <col min="14337" max="14337" width="37.25" style="368" customWidth="1"/>
    <col min="14338" max="14338" width="24.5" style="368" customWidth="1"/>
    <col min="14339" max="14339" width="37.25" style="368" customWidth="1"/>
    <col min="14340" max="14340" width="24.5" style="368" customWidth="1"/>
    <col min="14341" max="14592" width="9" style="368"/>
    <col min="14593" max="14593" width="37.25" style="368" customWidth="1"/>
    <col min="14594" max="14594" width="24.5" style="368" customWidth="1"/>
    <col min="14595" max="14595" width="37.25" style="368" customWidth="1"/>
    <col min="14596" max="14596" width="24.5" style="368" customWidth="1"/>
    <col min="14597" max="14848" width="9" style="368"/>
    <col min="14849" max="14849" width="37.25" style="368" customWidth="1"/>
    <col min="14850" max="14850" width="24.5" style="368" customWidth="1"/>
    <col min="14851" max="14851" width="37.25" style="368" customWidth="1"/>
    <col min="14852" max="14852" width="24.5" style="368" customWidth="1"/>
    <col min="14853" max="15104" width="9" style="368"/>
    <col min="15105" max="15105" width="37.25" style="368" customWidth="1"/>
    <col min="15106" max="15106" width="24.5" style="368" customWidth="1"/>
    <col min="15107" max="15107" width="37.25" style="368" customWidth="1"/>
    <col min="15108" max="15108" width="24.5" style="368" customWidth="1"/>
    <col min="15109" max="15360" width="9" style="368"/>
    <col min="15361" max="15361" width="37.25" style="368" customWidth="1"/>
    <col min="15362" max="15362" width="24.5" style="368" customWidth="1"/>
    <col min="15363" max="15363" width="37.25" style="368" customWidth="1"/>
    <col min="15364" max="15364" width="24.5" style="368" customWidth="1"/>
    <col min="15365" max="15616" width="9" style="368"/>
    <col min="15617" max="15617" width="37.25" style="368" customWidth="1"/>
    <col min="15618" max="15618" width="24.5" style="368" customWidth="1"/>
    <col min="15619" max="15619" width="37.25" style="368" customWidth="1"/>
    <col min="15620" max="15620" width="24.5" style="368" customWidth="1"/>
    <col min="15621" max="15872" width="9" style="368"/>
    <col min="15873" max="15873" width="37.25" style="368" customWidth="1"/>
    <col min="15874" max="15874" width="24.5" style="368" customWidth="1"/>
    <col min="15875" max="15875" width="37.25" style="368" customWidth="1"/>
    <col min="15876" max="15876" width="24.5" style="368" customWidth="1"/>
    <col min="15877" max="16128" width="9" style="368"/>
    <col min="16129" max="16129" width="37.25" style="368" customWidth="1"/>
    <col min="16130" max="16130" width="24.5" style="368" customWidth="1"/>
    <col min="16131" max="16131" width="37.25" style="368" customWidth="1"/>
    <col min="16132" max="16132" width="24.5" style="368" customWidth="1"/>
    <col min="16133" max="16384" width="9" style="368"/>
  </cols>
  <sheetData>
    <row r="1" spans="1:4" ht="36.75" customHeight="1">
      <c r="A1" s="722" t="s">
        <v>1557</v>
      </c>
      <c r="B1" s="722"/>
      <c r="C1" s="722"/>
      <c r="D1" s="722"/>
    </row>
    <row r="2" spans="1:4" ht="18.75" customHeight="1">
      <c r="A2" s="369"/>
      <c r="B2" s="370"/>
      <c r="C2" s="369"/>
      <c r="D2" s="371" t="s">
        <v>1558</v>
      </c>
    </row>
    <row r="3" spans="1:4" ht="18.75" customHeight="1" thickBot="1">
      <c r="A3" s="343" t="s">
        <v>1526</v>
      </c>
      <c r="B3" s="371"/>
      <c r="C3" s="372"/>
      <c r="D3" s="371" t="s">
        <v>1527</v>
      </c>
    </row>
    <row r="4" spans="1:4" ht="30" customHeight="1" thickBot="1">
      <c r="A4" s="239" t="s">
        <v>1528</v>
      </c>
      <c r="B4" s="373" t="s">
        <v>1529</v>
      </c>
      <c r="C4" s="255" t="s">
        <v>1528</v>
      </c>
      <c r="D4" s="373" t="s">
        <v>1529</v>
      </c>
    </row>
    <row r="5" spans="1:4" ht="28.15" customHeight="1">
      <c r="A5" s="374" t="s">
        <v>1530</v>
      </c>
      <c r="B5" s="216"/>
      <c r="C5" s="256" t="s">
        <v>1531</v>
      </c>
      <c r="D5" s="216"/>
    </row>
    <row r="6" spans="1:4" ht="28.15" customHeight="1">
      <c r="A6" s="244" t="s">
        <v>1532</v>
      </c>
      <c r="B6" s="217"/>
      <c r="C6" s="375" t="s">
        <v>1541</v>
      </c>
      <c r="D6" s="258" t="s">
        <v>1542</v>
      </c>
    </row>
    <row r="7" spans="1:4" ht="28.15" customHeight="1">
      <c r="A7" s="244" t="s">
        <v>1534</v>
      </c>
      <c r="B7" s="217"/>
      <c r="C7" s="375" t="s">
        <v>1541</v>
      </c>
      <c r="D7" s="258" t="s">
        <v>1542</v>
      </c>
    </row>
    <row r="8" spans="1:4" ht="28.15" customHeight="1">
      <c r="A8" s="244" t="s">
        <v>1536</v>
      </c>
      <c r="B8" s="217"/>
      <c r="C8" s="250" t="s">
        <v>1559</v>
      </c>
      <c r="D8" s="217"/>
    </row>
    <row r="9" spans="1:4" ht="28.15" customHeight="1">
      <c r="A9" s="244" t="s">
        <v>1543</v>
      </c>
      <c r="B9" s="217"/>
      <c r="C9" s="250" t="s">
        <v>1560</v>
      </c>
      <c r="D9" s="217"/>
    </row>
    <row r="10" spans="1:4" ht="28.15" customHeight="1">
      <c r="A10" s="244" t="s">
        <v>1545</v>
      </c>
      <c r="B10" s="217">
        <f>SUM(B5:B9)</f>
        <v>0</v>
      </c>
      <c r="C10" s="250" t="s">
        <v>1561</v>
      </c>
      <c r="D10" s="217">
        <f>D5+D8+D9</f>
        <v>0</v>
      </c>
    </row>
    <row r="11" spans="1:4" ht="28.15" customHeight="1">
      <c r="A11" s="244" t="s">
        <v>1547</v>
      </c>
      <c r="B11" s="217"/>
      <c r="C11" s="250" t="s">
        <v>1562</v>
      </c>
      <c r="D11" s="217"/>
    </row>
    <row r="12" spans="1:4" ht="28.15" customHeight="1">
      <c r="A12" s="244" t="s">
        <v>1549</v>
      </c>
      <c r="B12" s="217"/>
      <c r="C12" s="250" t="s">
        <v>1563</v>
      </c>
      <c r="D12" s="217"/>
    </row>
    <row r="13" spans="1:4" ht="28.15" customHeight="1">
      <c r="A13" s="244" t="s">
        <v>1551</v>
      </c>
      <c r="B13" s="217">
        <f>SUM(B10:B12)</f>
        <v>0</v>
      </c>
      <c r="C13" s="250" t="s">
        <v>1564</v>
      </c>
      <c r="D13" s="217">
        <f>SUM(D10:D12)</f>
        <v>0</v>
      </c>
    </row>
    <row r="14" spans="1:4" ht="28.15" customHeight="1">
      <c r="A14" s="332" t="s">
        <v>1542</v>
      </c>
      <c r="B14" s="258" t="s">
        <v>1542</v>
      </c>
      <c r="C14" s="250" t="s">
        <v>1565</v>
      </c>
      <c r="D14" s="217">
        <f>B13-D13</f>
        <v>0</v>
      </c>
    </row>
    <row r="15" spans="1:4" ht="28.15" customHeight="1" thickBot="1">
      <c r="A15" s="376" t="s">
        <v>1554</v>
      </c>
      <c r="B15" s="217"/>
      <c r="C15" s="377" t="s">
        <v>1566</v>
      </c>
      <c r="D15" s="260">
        <f>B15+D14</f>
        <v>0</v>
      </c>
    </row>
    <row r="16" spans="1:4" ht="30" customHeight="1" thickBot="1">
      <c r="A16" s="239" t="s">
        <v>1556</v>
      </c>
      <c r="B16" s="378">
        <f>B13+B15</f>
        <v>0</v>
      </c>
      <c r="C16" s="255" t="s">
        <v>1556</v>
      </c>
      <c r="D16" s="378">
        <f>D13+D15</f>
        <v>0</v>
      </c>
    </row>
  </sheetData>
  <mergeCells count="1">
    <mergeCell ref="A1:D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>
      <selection activeCell="A3" sqref="A1:XFD1048576"/>
    </sheetView>
  </sheetViews>
  <sheetFormatPr defaultRowHeight="14.25" customHeight="1"/>
  <cols>
    <col min="1" max="1" width="37.25" style="368" customWidth="1"/>
    <col min="2" max="2" width="24.5" style="368" customWidth="1"/>
    <col min="3" max="3" width="37.25" style="368" customWidth="1"/>
    <col min="4" max="4" width="24.5" style="368" customWidth="1"/>
    <col min="5" max="256" width="9" style="368"/>
    <col min="257" max="257" width="37.25" style="368" customWidth="1"/>
    <col min="258" max="258" width="24.5" style="368" customWidth="1"/>
    <col min="259" max="259" width="37.25" style="368" customWidth="1"/>
    <col min="260" max="260" width="24.5" style="368" customWidth="1"/>
    <col min="261" max="512" width="9" style="368"/>
    <col min="513" max="513" width="37.25" style="368" customWidth="1"/>
    <col min="514" max="514" width="24.5" style="368" customWidth="1"/>
    <col min="515" max="515" width="37.25" style="368" customWidth="1"/>
    <col min="516" max="516" width="24.5" style="368" customWidth="1"/>
    <col min="517" max="768" width="9" style="368"/>
    <col min="769" max="769" width="37.25" style="368" customWidth="1"/>
    <col min="770" max="770" width="24.5" style="368" customWidth="1"/>
    <col min="771" max="771" width="37.25" style="368" customWidth="1"/>
    <col min="772" max="772" width="24.5" style="368" customWidth="1"/>
    <col min="773" max="1024" width="9" style="368"/>
    <col min="1025" max="1025" width="37.25" style="368" customWidth="1"/>
    <col min="1026" max="1026" width="24.5" style="368" customWidth="1"/>
    <col min="1027" max="1027" width="37.25" style="368" customWidth="1"/>
    <col min="1028" max="1028" width="24.5" style="368" customWidth="1"/>
    <col min="1029" max="1280" width="9" style="368"/>
    <col min="1281" max="1281" width="37.25" style="368" customWidth="1"/>
    <col min="1282" max="1282" width="24.5" style="368" customWidth="1"/>
    <col min="1283" max="1283" width="37.25" style="368" customWidth="1"/>
    <col min="1284" max="1284" width="24.5" style="368" customWidth="1"/>
    <col min="1285" max="1536" width="9" style="368"/>
    <col min="1537" max="1537" width="37.25" style="368" customWidth="1"/>
    <col min="1538" max="1538" width="24.5" style="368" customWidth="1"/>
    <col min="1539" max="1539" width="37.25" style="368" customWidth="1"/>
    <col min="1540" max="1540" width="24.5" style="368" customWidth="1"/>
    <col min="1541" max="1792" width="9" style="368"/>
    <col min="1793" max="1793" width="37.25" style="368" customWidth="1"/>
    <col min="1794" max="1794" width="24.5" style="368" customWidth="1"/>
    <col min="1795" max="1795" width="37.25" style="368" customWidth="1"/>
    <col min="1796" max="1796" width="24.5" style="368" customWidth="1"/>
    <col min="1797" max="2048" width="9" style="368"/>
    <col min="2049" max="2049" width="37.25" style="368" customWidth="1"/>
    <col min="2050" max="2050" width="24.5" style="368" customWidth="1"/>
    <col min="2051" max="2051" width="37.25" style="368" customWidth="1"/>
    <col min="2052" max="2052" width="24.5" style="368" customWidth="1"/>
    <col min="2053" max="2304" width="9" style="368"/>
    <col min="2305" max="2305" width="37.25" style="368" customWidth="1"/>
    <col min="2306" max="2306" width="24.5" style="368" customWidth="1"/>
    <col min="2307" max="2307" width="37.25" style="368" customWidth="1"/>
    <col min="2308" max="2308" width="24.5" style="368" customWidth="1"/>
    <col min="2309" max="2560" width="9" style="368"/>
    <col min="2561" max="2561" width="37.25" style="368" customWidth="1"/>
    <col min="2562" max="2562" width="24.5" style="368" customWidth="1"/>
    <col min="2563" max="2563" width="37.25" style="368" customWidth="1"/>
    <col min="2564" max="2564" width="24.5" style="368" customWidth="1"/>
    <col min="2565" max="2816" width="9" style="368"/>
    <col min="2817" max="2817" width="37.25" style="368" customWidth="1"/>
    <col min="2818" max="2818" width="24.5" style="368" customWidth="1"/>
    <col min="2819" max="2819" width="37.25" style="368" customWidth="1"/>
    <col min="2820" max="2820" width="24.5" style="368" customWidth="1"/>
    <col min="2821" max="3072" width="9" style="368"/>
    <col min="3073" max="3073" width="37.25" style="368" customWidth="1"/>
    <col min="3074" max="3074" width="24.5" style="368" customWidth="1"/>
    <col min="3075" max="3075" width="37.25" style="368" customWidth="1"/>
    <col min="3076" max="3076" width="24.5" style="368" customWidth="1"/>
    <col min="3077" max="3328" width="9" style="368"/>
    <col min="3329" max="3329" width="37.25" style="368" customWidth="1"/>
    <col min="3330" max="3330" width="24.5" style="368" customWidth="1"/>
    <col min="3331" max="3331" width="37.25" style="368" customWidth="1"/>
    <col min="3332" max="3332" width="24.5" style="368" customWidth="1"/>
    <col min="3333" max="3584" width="9" style="368"/>
    <col min="3585" max="3585" width="37.25" style="368" customWidth="1"/>
    <col min="3586" max="3586" width="24.5" style="368" customWidth="1"/>
    <col min="3587" max="3587" width="37.25" style="368" customWidth="1"/>
    <col min="3588" max="3588" width="24.5" style="368" customWidth="1"/>
    <col min="3589" max="3840" width="9" style="368"/>
    <col min="3841" max="3841" width="37.25" style="368" customWidth="1"/>
    <col min="3842" max="3842" width="24.5" style="368" customWidth="1"/>
    <col min="3843" max="3843" width="37.25" style="368" customWidth="1"/>
    <col min="3844" max="3844" width="24.5" style="368" customWidth="1"/>
    <col min="3845" max="4096" width="9" style="368"/>
    <col min="4097" max="4097" width="37.25" style="368" customWidth="1"/>
    <col min="4098" max="4098" width="24.5" style="368" customWidth="1"/>
    <col min="4099" max="4099" width="37.25" style="368" customWidth="1"/>
    <col min="4100" max="4100" width="24.5" style="368" customWidth="1"/>
    <col min="4101" max="4352" width="9" style="368"/>
    <col min="4353" max="4353" width="37.25" style="368" customWidth="1"/>
    <col min="4354" max="4354" width="24.5" style="368" customWidth="1"/>
    <col min="4355" max="4355" width="37.25" style="368" customWidth="1"/>
    <col min="4356" max="4356" width="24.5" style="368" customWidth="1"/>
    <col min="4357" max="4608" width="9" style="368"/>
    <col min="4609" max="4609" width="37.25" style="368" customWidth="1"/>
    <col min="4610" max="4610" width="24.5" style="368" customWidth="1"/>
    <col min="4611" max="4611" width="37.25" style="368" customWidth="1"/>
    <col min="4612" max="4612" width="24.5" style="368" customWidth="1"/>
    <col min="4613" max="4864" width="9" style="368"/>
    <col min="4865" max="4865" width="37.25" style="368" customWidth="1"/>
    <col min="4866" max="4866" width="24.5" style="368" customWidth="1"/>
    <col min="4867" max="4867" width="37.25" style="368" customWidth="1"/>
    <col min="4868" max="4868" width="24.5" style="368" customWidth="1"/>
    <col min="4869" max="5120" width="9" style="368"/>
    <col min="5121" max="5121" width="37.25" style="368" customWidth="1"/>
    <col min="5122" max="5122" width="24.5" style="368" customWidth="1"/>
    <col min="5123" max="5123" width="37.25" style="368" customWidth="1"/>
    <col min="5124" max="5124" width="24.5" style="368" customWidth="1"/>
    <col min="5125" max="5376" width="9" style="368"/>
    <col min="5377" max="5377" width="37.25" style="368" customWidth="1"/>
    <col min="5378" max="5378" width="24.5" style="368" customWidth="1"/>
    <col min="5379" max="5379" width="37.25" style="368" customWidth="1"/>
    <col min="5380" max="5380" width="24.5" style="368" customWidth="1"/>
    <col min="5381" max="5632" width="9" style="368"/>
    <col min="5633" max="5633" width="37.25" style="368" customWidth="1"/>
    <col min="5634" max="5634" width="24.5" style="368" customWidth="1"/>
    <col min="5635" max="5635" width="37.25" style="368" customWidth="1"/>
    <col min="5636" max="5636" width="24.5" style="368" customWidth="1"/>
    <col min="5637" max="5888" width="9" style="368"/>
    <col min="5889" max="5889" width="37.25" style="368" customWidth="1"/>
    <col min="5890" max="5890" width="24.5" style="368" customWidth="1"/>
    <col min="5891" max="5891" width="37.25" style="368" customWidth="1"/>
    <col min="5892" max="5892" width="24.5" style="368" customWidth="1"/>
    <col min="5893" max="6144" width="9" style="368"/>
    <col min="6145" max="6145" width="37.25" style="368" customWidth="1"/>
    <col min="6146" max="6146" width="24.5" style="368" customWidth="1"/>
    <col min="6147" max="6147" width="37.25" style="368" customWidth="1"/>
    <col min="6148" max="6148" width="24.5" style="368" customWidth="1"/>
    <col min="6149" max="6400" width="9" style="368"/>
    <col min="6401" max="6401" width="37.25" style="368" customWidth="1"/>
    <col min="6402" max="6402" width="24.5" style="368" customWidth="1"/>
    <col min="6403" max="6403" width="37.25" style="368" customWidth="1"/>
    <col min="6404" max="6404" width="24.5" style="368" customWidth="1"/>
    <col min="6405" max="6656" width="9" style="368"/>
    <col min="6657" max="6657" width="37.25" style="368" customWidth="1"/>
    <col min="6658" max="6658" width="24.5" style="368" customWidth="1"/>
    <col min="6659" max="6659" width="37.25" style="368" customWidth="1"/>
    <col min="6660" max="6660" width="24.5" style="368" customWidth="1"/>
    <col min="6661" max="6912" width="9" style="368"/>
    <col min="6913" max="6913" width="37.25" style="368" customWidth="1"/>
    <col min="6914" max="6914" width="24.5" style="368" customWidth="1"/>
    <col min="6915" max="6915" width="37.25" style="368" customWidth="1"/>
    <col min="6916" max="6916" width="24.5" style="368" customWidth="1"/>
    <col min="6917" max="7168" width="9" style="368"/>
    <col min="7169" max="7169" width="37.25" style="368" customWidth="1"/>
    <col min="7170" max="7170" width="24.5" style="368" customWidth="1"/>
    <col min="7171" max="7171" width="37.25" style="368" customWidth="1"/>
    <col min="7172" max="7172" width="24.5" style="368" customWidth="1"/>
    <col min="7173" max="7424" width="9" style="368"/>
    <col min="7425" max="7425" width="37.25" style="368" customWidth="1"/>
    <col min="7426" max="7426" width="24.5" style="368" customWidth="1"/>
    <col min="7427" max="7427" width="37.25" style="368" customWidth="1"/>
    <col min="7428" max="7428" width="24.5" style="368" customWidth="1"/>
    <col min="7429" max="7680" width="9" style="368"/>
    <col min="7681" max="7681" width="37.25" style="368" customWidth="1"/>
    <col min="7682" max="7682" width="24.5" style="368" customWidth="1"/>
    <col min="7683" max="7683" width="37.25" style="368" customWidth="1"/>
    <col min="7684" max="7684" width="24.5" style="368" customWidth="1"/>
    <col min="7685" max="7936" width="9" style="368"/>
    <col min="7937" max="7937" width="37.25" style="368" customWidth="1"/>
    <col min="7938" max="7938" width="24.5" style="368" customWidth="1"/>
    <col min="7939" max="7939" width="37.25" style="368" customWidth="1"/>
    <col min="7940" max="7940" width="24.5" style="368" customWidth="1"/>
    <col min="7941" max="8192" width="9" style="368"/>
    <col min="8193" max="8193" width="37.25" style="368" customWidth="1"/>
    <col min="8194" max="8194" width="24.5" style="368" customWidth="1"/>
    <col min="8195" max="8195" width="37.25" style="368" customWidth="1"/>
    <col min="8196" max="8196" width="24.5" style="368" customWidth="1"/>
    <col min="8197" max="8448" width="9" style="368"/>
    <col min="8449" max="8449" width="37.25" style="368" customWidth="1"/>
    <col min="8450" max="8450" width="24.5" style="368" customWidth="1"/>
    <col min="8451" max="8451" width="37.25" style="368" customWidth="1"/>
    <col min="8452" max="8452" width="24.5" style="368" customWidth="1"/>
    <col min="8453" max="8704" width="9" style="368"/>
    <col min="8705" max="8705" width="37.25" style="368" customWidth="1"/>
    <col min="8706" max="8706" width="24.5" style="368" customWidth="1"/>
    <col min="8707" max="8707" width="37.25" style="368" customWidth="1"/>
    <col min="8708" max="8708" width="24.5" style="368" customWidth="1"/>
    <col min="8709" max="8960" width="9" style="368"/>
    <col min="8961" max="8961" width="37.25" style="368" customWidth="1"/>
    <col min="8962" max="8962" width="24.5" style="368" customWidth="1"/>
    <col min="8963" max="8963" width="37.25" style="368" customWidth="1"/>
    <col min="8964" max="8964" width="24.5" style="368" customWidth="1"/>
    <col min="8965" max="9216" width="9" style="368"/>
    <col min="9217" max="9217" width="37.25" style="368" customWidth="1"/>
    <col min="9218" max="9218" width="24.5" style="368" customWidth="1"/>
    <col min="9219" max="9219" width="37.25" style="368" customWidth="1"/>
    <col min="9220" max="9220" width="24.5" style="368" customWidth="1"/>
    <col min="9221" max="9472" width="9" style="368"/>
    <col min="9473" max="9473" width="37.25" style="368" customWidth="1"/>
    <col min="9474" max="9474" width="24.5" style="368" customWidth="1"/>
    <col min="9475" max="9475" width="37.25" style="368" customWidth="1"/>
    <col min="9476" max="9476" width="24.5" style="368" customWidth="1"/>
    <col min="9477" max="9728" width="9" style="368"/>
    <col min="9729" max="9729" width="37.25" style="368" customWidth="1"/>
    <col min="9730" max="9730" width="24.5" style="368" customWidth="1"/>
    <col min="9731" max="9731" width="37.25" style="368" customWidth="1"/>
    <col min="9732" max="9732" width="24.5" style="368" customWidth="1"/>
    <col min="9733" max="9984" width="9" style="368"/>
    <col min="9985" max="9985" width="37.25" style="368" customWidth="1"/>
    <col min="9986" max="9986" width="24.5" style="368" customWidth="1"/>
    <col min="9987" max="9987" width="37.25" style="368" customWidth="1"/>
    <col min="9988" max="9988" width="24.5" style="368" customWidth="1"/>
    <col min="9989" max="10240" width="9" style="368"/>
    <col min="10241" max="10241" width="37.25" style="368" customWidth="1"/>
    <col min="10242" max="10242" width="24.5" style="368" customWidth="1"/>
    <col min="10243" max="10243" width="37.25" style="368" customWidth="1"/>
    <col min="10244" max="10244" width="24.5" style="368" customWidth="1"/>
    <col min="10245" max="10496" width="9" style="368"/>
    <col min="10497" max="10497" width="37.25" style="368" customWidth="1"/>
    <col min="10498" max="10498" width="24.5" style="368" customWidth="1"/>
    <col min="10499" max="10499" width="37.25" style="368" customWidth="1"/>
    <col min="10500" max="10500" width="24.5" style="368" customWidth="1"/>
    <col min="10501" max="10752" width="9" style="368"/>
    <col min="10753" max="10753" width="37.25" style="368" customWidth="1"/>
    <col min="10754" max="10754" width="24.5" style="368" customWidth="1"/>
    <col min="10755" max="10755" width="37.25" style="368" customWidth="1"/>
    <col min="10756" max="10756" width="24.5" style="368" customWidth="1"/>
    <col min="10757" max="11008" width="9" style="368"/>
    <col min="11009" max="11009" width="37.25" style="368" customWidth="1"/>
    <col min="11010" max="11010" width="24.5" style="368" customWidth="1"/>
    <col min="11011" max="11011" width="37.25" style="368" customWidth="1"/>
    <col min="11012" max="11012" width="24.5" style="368" customWidth="1"/>
    <col min="11013" max="11264" width="9" style="368"/>
    <col min="11265" max="11265" width="37.25" style="368" customWidth="1"/>
    <col min="11266" max="11266" width="24.5" style="368" customWidth="1"/>
    <col min="11267" max="11267" width="37.25" style="368" customWidth="1"/>
    <col min="11268" max="11268" width="24.5" style="368" customWidth="1"/>
    <col min="11269" max="11520" width="9" style="368"/>
    <col min="11521" max="11521" width="37.25" style="368" customWidth="1"/>
    <col min="11522" max="11522" width="24.5" style="368" customWidth="1"/>
    <col min="11523" max="11523" width="37.25" style="368" customWidth="1"/>
    <col min="11524" max="11524" width="24.5" style="368" customWidth="1"/>
    <col min="11525" max="11776" width="9" style="368"/>
    <col min="11777" max="11777" width="37.25" style="368" customWidth="1"/>
    <col min="11778" max="11778" width="24.5" style="368" customWidth="1"/>
    <col min="11779" max="11779" width="37.25" style="368" customWidth="1"/>
    <col min="11780" max="11780" width="24.5" style="368" customWidth="1"/>
    <col min="11781" max="12032" width="9" style="368"/>
    <col min="12033" max="12033" width="37.25" style="368" customWidth="1"/>
    <col min="12034" max="12034" width="24.5" style="368" customWidth="1"/>
    <col min="12035" max="12035" width="37.25" style="368" customWidth="1"/>
    <col min="12036" max="12036" width="24.5" style="368" customWidth="1"/>
    <col min="12037" max="12288" width="9" style="368"/>
    <col min="12289" max="12289" width="37.25" style="368" customWidth="1"/>
    <col min="12290" max="12290" width="24.5" style="368" customWidth="1"/>
    <col min="12291" max="12291" width="37.25" style="368" customWidth="1"/>
    <col min="12292" max="12292" width="24.5" style="368" customWidth="1"/>
    <col min="12293" max="12544" width="9" style="368"/>
    <col min="12545" max="12545" width="37.25" style="368" customWidth="1"/>
    <col min="12546" max="12546" width="24.5" style="368" customWidth="1"/>
    <col min="12547" max="12547" width="37.25" style="368" customWidth="1"/>
    <col min="12548" max="12548" width="24.5" style="368" customWidth="1"/>
    <col min="12549" max="12800" width="9" style="368"/>
    <col min="12801" max="12801" width="37.25" style="368" customWidth="1"/>
    <col min="12802" max="12802" width="24.5" style="368" customWidth="1"/>
    <col min="12803" max="12803" width="37.25" style="368" customWidth="1"/>
    <col min="12804" max="12804" width="24.5" style="368" customWidth="1"/>
    <col min="12805" max="13056" width="9" style="368"/>
    <col min="13057" max="13057" width="37.25" style="368" customWidth="1"/>
    <col min="13058" max="13058" width="24.5" style="368" customWidth="1"/>
    <col min="13059" max="13059" width="37.25" style="368" customWidth="1"/>
    <col min="13060" max="13060" width="24.5" style="368" customWidth="1"/>
    <col min="13061" max="13312" width="9" style="368"/>
    <col min="13313" max="13313" width="37.25" style="368" customWidth="1"/>
    <col min="13314" max="13314" width="24.5" style="368" customWidth="1"/>
    <col min="13315" max="13315" width="37.25" style="368" customWidth="1"/>
    <col min="13316" max="13316" width="24.5" style="368" customWidth="1"/>
    <col min="13317" max="13568" width="9" style="368"/>
    <col min="13569" max="13569" width="37.25" style="368" customWidth="1"/>
    <col min="13570" max="13570" width="24.5" style="368" customWidth="1"/>
    <col min="13571" max="13571" width="37.25" style="368" customWidth="1"/>
    <col min="13572" max="13572" width="24.5" style="368" customWidth="1"/>
    <col min="13573" max="13824" width="9" style="368"/>
    <col min="13825" max="13825" width="37.25" style="368" customWidth="1"/>
    <col min="13826" max="13826" width="24.5" style="368" customWidth="1"/>
    <col min="13827" max="13827" width="37.25" style="368" customWidth="1"/>
    <col min="13828" max="13828" width="24.5" style="368" customWidth="1"/>
    <col min="13829" max="14080" width="9" style="368"/>
    <col min="14081" max="14081" width="37.25" style="368" customWidth="1"/>
    <col min="14082" max="14082" width="24.5" style="368" customWidth="1"/>
    <col min="14083" max="14083" width="37.25" style="368" customWidth="1"/>
    <col min="14084" max="14084" width="24.5" style="368" customWidth="1"/>
    <col min="14085" max="14336" width="9" style="368"/>
    <col min="14337" max="14337" width="37.25" style="368" customWidth="1"/>
    <col min="14338" max="14338" width="24.5" style="368" customWidth="1"/>
    <col min="14339" max="14339" width="37.25" style="368" customWidth="1"/>
    <col min="14340" max="14340" width="24.5" style="368" customWidth="1"/>
    <col min="14341" max="14592" width="9" style="368"/>
    <col min="14593" max="14593" width="37.25" style="368" customWidth="1"/>
    <col min="14594" max="14594" width="24.5" style="368" customWidth="1"/>
    <col min="14595" max="14595" width="37.25" style="368" customWidth="1"/>
    <col min="14596" max="14596" width="24.5" style="368" customWidth="1"/>
    <col min="14597" max="14848" width="9" style="368"/>
    <col min="14849" max="14849" width="37.25" style="368" customWidth="1"/>
    <col min="14850" max="14850" width="24.5" style="368" customWidth="1"/>
    <col min="14851" max="14851" width="37.25" style="368" customWidth="1"/>
    <col min="14852" max="14852" width="24.5" style="368" customWidth="1"/>
    <col min="14853" max="15104" width="9" style="368"/>
    <col min="15105" max="15105" width="37.25" style="368" customWidth="1"/>
    <col min="15106" max="15106" width="24.5" style="368" customWidth="1"/>
    <col min="15107" max="15107" width="37.25" style="368" customWidth="1"/>
    <col min="15108" max="15108" width="24.5" style="368" customWidth="1"/>
    <col min="15109" max="15360" width="9" style="368"/>
    <col min="15361" max="15361" width="37.25" style="368" customWidth="1"/>
    <col min="15362" max="15362" width="24.5" style="368" customWidth="1"/>
    <col min="15363" max="15363" width="37.25" style="368" customWidth="1"/>
    <col min="15364" max="15364" width="24.5" style="368" customWidth="1"/>
    <col min="15365" max="15616" width="9" style="368"/>
    <col min="15617" max="15617" width="37.25" style="368" customWidth="1"/>
    <col min="15618" max="15618" width="24.5" style="368" customWidth="1"/>
    <col min="15619" max="15619" width="37.25" style="368" customWidth="1"/>
    <col min="15620" max="15620" width="24.5" style="368" customWidth="1"/>
    <col min="15621" max="15872" width="9" style="368"/>
    <col min="15873" max="15873" width="37.25" style="368" customWidth="1"/>
    <col min="15874" max="15874" width="24.5" style="368" customWidth="1"/>
    <col min="15875" max="15875" width="37.25" style="368" customWidth="1"/>
    <col min="15876" max="15876" width="24.5" style="368" customWidth="1"/>
    <col min="15877" max="16128" width="9" style="368"/>
    <col min="16129" max="16129" width="37.25" style="368" customWidth="1"/>
    <col min="16130" max="16130" width="24.5" style="368" customWidth="1"/>
    <col min="16131" max="16131" width="37.25" style="368" customWidth="1"/>
    <col min="16132" max="16132" width="24.5" style="368" customWidth="1"/>
    <col min="16133" max="16384" width="9" style="368"/>
  </cols>
  <sheetData>
    <row r="1" spans="1:4" ht="36.75" customHeight="1">
      <c r="A1" s="722" t="s">
        <v>1567</v>
      </c>
      <c r="B1" s="722"/>
      <c r="C1" s="722"/>
      <c r="D1" s="722"/>
    </row>
    <row r="2" spans="1:4" ht="18.75" customHeight="1">
      <c r="A2" s="379"/>
      <c r="B2" s="379"/>
      <c r="C2" s="369"/>
      <c r="D2" s="371" t="s">
        <v>1568</v>
      </c>
    </row>
    <row r="3" spans="1:4" ht="18.75" customHeight="1" thickBot="1">
      <c r="A3" s="343" t="s">
        <v>1526</v>
      </c>
      <c r="B3" s="369"/>
      <c r="C3" s="369"/>
      <c r="D3" s="371" t="s">
        <v>1569</v>
      </c>
    </row>
    <row r="4" spans="1:4" ht="39.75" customHeight="1" thickBot="1">
      <c r="A4" s="239" t="s">
        <v>1528</v>
      </c>
      <c r="B4" s="248" t="s">
        <v>1570</v>
      </c>
      <c r="C4" s="239" t="s">
        <v>1528</v>
      </c>
      <c r="D4" s="373" t="s">
        <v>1570</v>
      </c>
    </row>
    <row r="5" spans="1:4" ht="21.75" customHeight="1">
      <c r="A5" s="380" t="s">
        <v>1571</v>
      </c>
      <c r="B5" s="218">
        <v>3743900</v>
      </c>
      <c r="C5" s="380" t="s">
        <v>1572</v>
      </c>
      <c r="D5" s="219">
        <v>23134058.390000001</v>
      </c>
    </row>
    <row r="6" spans="1:4" ht="21.75" customHeight="1">
      <c r="A6" s="244" t="s">
        <v>1573</v>
      </c>
      <c r="B6" s="220"/>
      <c r="C6" s="244" t="s">
        <v>1574</v>
      </c>
      <c r="D6" s="221">
        <v>7736474.8499999996</v>
      </c>
    </row>
    <row r="7" spans="1:4" ht="21.75" customHeight="1">
      <c r="A7" s="244" t="s">
        <v>1575</v>
      </c>
      <c r="B7" s="220">
        <v>1613595.87</v>
      </c>
      <c r="C7" s="244" t="s">
        <v>1576</v>
      </c>
      <c r="D7" s="221"/>
    </row>
    <row r="8" spans="1:4" ht="21.75" customHeight="1">
      <c r="A8" s="244" t="s">
        <v>1577</v>
      </c>
      <c r="B8" s="220">
        <f>SUM(B9:B10)</f>
        <v>23402078.390000001</v>
      </c>
      <c r="C8" s="332" t="s">
        <v>1542</v>
      </c>
      <c r="D8" s="251" t="s">
        <v>1542</v>
      </c>
    </row>
    <row r="9" spans="1:4" ht="21.75" customHeight="1">
      <c r="A9" s="381" t="s">
        <v>1578</v>
      </c>
      <c r="B9" s="220">
        <v>23134058.390000001</v>
      </c>
      <c r="C9" s="332" t="s">
        <v>1542</v>
      </c>
      <c r="D9" s="251" t="s">
        <v>1542</v>
      </c>
    </row>
    <row r="10" spans="1:4" ht="21.75" customHeight="1">
      <c r="A10" s="244" t="s">
        <v>1579</v>
      </c>
      <c r="B10" s="220">
        <v>268020</v>
      </c>
      <c r="C10" s="332" t="s">
        <v>1542</v>
      </c>
      <c r="D10" s="251" t="s">
        <v>1542</v>
      </c>
    </row>
    <row r="11" spans="1:4" ht="21.75" customHeight="1">
      <c r="A11" s="244" t="s">
        <v>1580</v>
      </c>
      <c r="B11" s="220"/>
      <c r="C11" s="381" t="s">
        <v>1581</v>
      </c>
      <c r="D11" s="258"/>
    </row>
    <row r="12" spans="1:4" ht="21.75" customHeight="1">
      <c r="A12" s="244" t="s">
        <v>1582</v>
      </c>
      <c r="B12" s="220"/>
      <c r="C12" s="244" t="s">
        <v>1583</v>
      </c>
      <c r="D12" s="221"/>
    </row>
    <row r="13" spans="1:4" ht="21.75" customHeight="1">
      <c r="A13" s="244" t="s">
        <v>1584</v>
      </c>
      <c r="B13" s="220">
        <f>B5+B6+B7+B8+B11+B12</f>
        <v>28759574.260000002</v>
      </c>
      <c r="C13" s="244" t="s">
        <v>1585</v>
      </c>
      <c r="D13" s="221">
        <f>D5+D6+D7+D11+D12</f>
        <v>30870533.240000002</v>
      </c>
    </row>
    <row r="14" spans="1:4" ht="21.75" customHeight="1">
      <c r="A14" s="244" t="s">
        <v>1586</v>
      </c>
      <c r="B14" s="220"/>
      <c r="C14" s="244" t="s">
        <v>1587</v>
      </c>
      <c r="D14" s="221"/>
    </row>
    <row r="15" spans="1:4" ht="21.75" customHeight="1">
      <c r="A15" s="244" t="s">
        <v>1588</v>
      </c>
      <c r="B15" s="220"/>
      <c r="C15" s="244" t="s">
        <v>1589</v>
      </c>
      <c r="D15" s="221"/>
    </row>
    <row r="16" spans="1:4" ht="21.75" customHeight="1">
      <c r="A16" s="244" t="s">
        <v>1590</v>
      </c>
      <c r="B16" s="220">
        <f>SUM(B13:B15)</f>
        <v>28759574.260000002</v>
      </c>
      <c r="C16" s="244" t="s">
        <v>1591</v>
      </c>
      <c r="D16" s="221">
        <f>SUM(D13:D15)</f>
        <v>30870533.240000002</v>
      </c>
    </row>
    <row r="17" spans="1:4" ht="21.75" customHeight="1">
      <c r="A17" s="332" t="s">
        <v>1542</v>
      </c>
      <c r="B17" s="382" t="s">
        <v>1542</v>
      </c>
      <c r="C17" s="244" t="s">
        <v>1592</v>
      </c>
      <c r="D17" s="383">
        <f>B16-D16</f>
        <v>-2110958.9800000004</v>
      </c>
    </row>
    <row r="18" spans="1:4" ht="21.75" customHeight="1" thickBot="1">
      <c r="A18" s="376" t="s">
        <v>1593</v>
      </c>
      <c r="B18" s="222">
        <v>43136184.43</v>
      </c>
      <c r="C18" s="376" t="s">
        <v>1594</v>
      </c>
      <c r="D18" s="384">
        <f>B18+D17</f>
        <v>41025225.450000003</v>
      </c>
    </row>
    <row r="19" spans="1:4" ht="24.75" customHeight="1" thickBot="1">
      <c r="A19" s="239" t="s">
        <v>1556</v>
      </c>
      <c r="B19" s="385">
        <f>B16+B18</f>
        <v>71895758.689999998</v>
      </c>
      <c r="C19" s="239" t="s">
        <v>1556</v>
      </c>
      <c r="D19" s="386">
        <f>D16+D18</f>
        <v>71895758.689999998</v>
      </c>
    </row>
  </sheetData>
  <mergeCells count="1">
    <mergeCell ref="A1:D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orientation="landscape" errors="blank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>
      <selection activeCell="A3" sqref="A1:XFD1048576"/>
    </sheetView>
  </sheetViews>
  <sheetFormatPr defaultRowHeight="14.25" customHeight="1"/>
  <cols>
    <col min="1" max="1" width="19.625" style="368" customWidth="1"/>
    <col min="2" max="5" width="11.625" style="368" customWidth="1"/>
    <col min="6" max="6" width="11" style="368" customWidth="1"/>
    <col min="7" max="7" width="21.25" style="368" customWidth="1"/>
    <col min="8" max="11" width="11.625" style="368" customWidth="1"/>
    <col min="12" max="12" width="11" style="368" customWidth="1"/>
    <col min="13" max="256" width="9" style="368"/>
    <col min="257" max="257" width="19.625" style="368" customWidth="1"/>
    <col min="258" max="261" width="11.625" style="368" customWidth="1"/>
    <col min="262" max="262" width="11" style="368" customWidth="1"/>
    <col min="263" max="263" width="21.25" style="368" customWidth="1"/>
    <col min="264" max="267" width="11.625" style="368" customWidth="1"/>
    <col min="268" max="268" width="11" style="368" customWidth="1"/>
    <col min="269" max="512" width="9" style="368"/>
    <col min="513" max="513" width="19.625" style="368" customWidth="1"/>
    <col min="514" max="517" width="11.625" style="368" customWidth="1"/>
    <col min="518" max="518" width="11" style="368" customWidth="1"/>
    <col min="519" max="519" width="21.25" style="368" customWidth="1"/>
    <col min="520" max="523" width="11.625" style="368" customWidth="1"/>
    <col min="524" max="524" width="11" style="368" customWidth="1"/>
    <col min="525" max="768" width="9" style="368"/>
    <col min="769" max="769" width="19.625" style="368" customWidth="1"/>
    <col min="770" max="773" width="11.625" style="368" customWidth="1"/>
    <col min="774" max="774" width="11" style="368" customWidth="1"/>
    <col min="775" max="775" width="21.25" style="368" customWidth="1"/>
    <col min="776" max="779" width="11.625" style="368" customWidth="1"/>
    <col min="780" max="780" width="11" style="368" customWidth="1"/>
    <col min="781" max="1024" width="9" style="368"/>
    <col min="1025" max="1025" width="19.625" style="368" customWidth="1"/>
    <col min="1026" max="1029" width="11.625" style="368" customWidth="1"/>
    <col min="1030" max="1030" width="11" style="368" customWidth="1"/>
    <col min="1031" max="1031" width="21.25" style="368" customWidth="1"/>
    <col min="1032" max="1035" width="11.625" style="368" customWidth="1"/>
    <col min="1036" max="1036" width="11" style="368" customWidth="1"/>
    <col min="1037" max="1280" width="9" style="368"/>
    <col min="1281" max="1281" width="19.625" style="368" customWidth="1"/>
    <col min="1282" max="1285" width="11.625" style="368" customWidth="1"/>
    <col min="1286" max="1286" width="11" style="368" customWidth="1"/>
    <col min="1287" max="1287" width="21.25" style="368" customWidth="1"/>
    <col min="1288" max="1291" width="11.625" style="368" customWidth="1"/>
    <col min="1292" max="1292" width="11" style="368" customWidth="1"/>
    <col min="1293" max="1536" width="9" style="368"/>
    <col min="1537" max="1537" width="19.625" style="368" customWidth="1"/>
    <col min="1538" max="1541" width="11.625" style="368" customWidth="1"/>
    <col min="1542" max="1542" width="11" style="368" customWidth="1"/>
    <col min="1543" max="1543" width="21.25" style="368" customWidth="1"/>
    <col min="1544" max="1547" width="11.625" style="368" customWidth="1"/>
    <col min="1548" max="1548" width="11" style="368" customWidth="1"/>
    <col min="1549" max="1792" width="9" style="368"/>
    <col min="1793" max="1793" width="19.625" style="368" customWidth="1"/>
    <col min="1794" max="1797" width="11.625" style="368" customWidth="1"/>
    <col min="1798" max="1798" width="11" style="368" customWidth="1"/>
    <col min="1799" max="1799" width="21.25" style="368" customWidth="1"/>
    <col min="1800" max="1803" width="11.625" style="368" customWidth="1"/>
    <col min="1804" max="1804" width="11" style="368" customWidth="1"/>
    <col min="1805" max="2048" width="9" style="368"/>
    <col min="2049" max="2049" width="19.625" style="368" customWidth="1"/>
    <col min="2050" max="2053" width="11.625" style="368" customWidth="1"/>
    <col min="2054" max="2054" width="11" style="368" customWidth="1"/>
    <col min="2055" max="2055" width="21.25" style="368" customWidth="1"/>
    <col min="2056" max="2059" width="11.625" style="368" customWidth="1"/>
    <col min="2060" max="2060" width="11" style="368" customWidth="1"/>
    <col min="2061" max="2304" width="9" style="368"/>
    <col min="2305" max="2305" width="19.625" style="368" customWidth="1"/>
    <col min="2306" max="2309" width="11.625" style="368" customWidth="1"/>
    <col min="2310" max="2310" width="11" style="368" customWidth="1"/>
    <col min="2311" max="2311" width="21.25" style="368" customWidth="1"/>
    <col min="2312" max="2315" width="11.625" style="368" customWidth="1"/>
    <col min="2316" max="2316" width="11" style="368" customWidth="1"/>
    <col min="2317" max="2560" width="9" style="368"/>
    <col min="2561" max="2561" width="19.625" style="368" customWidth="1"/>
    <col min="2562" max="2565" width="11.625" style="368" customWidth="1"/>
    <col min="2566" max="2566" width="11" style="368" customWidth="1"/>
    <col min="2567" max="2567" width="21.25" style="368" customWidth="1"/>
    <col min="2568" max="2571" width="11.625" style="368" customWidth="1"/>
    <col min="2572" max="2572" width="11" style="368" customWidth="1"/>
    <col min="2573" max="2816" width="9" style="368"/>
    <col min="2817" max="2817" width="19.625" style="368" customWidth="1"/>
    <col min="2818" max="2821" width="11.625" style="368" customWidth="1"/>
    <col min="2822" max="2822" width="11" style="368" customWidth="1"/>
    <col min="2823" max="2823" width="21.25" style="368" customWidth="1"/>
    <col min="2824" max="2827" width="11.625" style="368" customWidth="1"/>
    <col min="2828" max="2828" width="11" style="368" customWidth="1"/>
    <col min="2829" max="3072" width="9" style="368"/>
    <col min="3073" max="3073" width="19.625" style="368" customWidth="1"/>
    <col min="3074" max="3077" width="11.625" style="368" customWidth="1"/>
    <col min="3078" max="3078" width="11" style="368" customWidth="1"/>
    <col min="3079" max="3079" width="21.25" style="368" customWidth="1"/>
    <col min="3080" max="3083" width="11.625" style="368" customWidth="1"/>
    <col min="3084" max="3084" width="11" style="368" customWidth="1"/>
    <col min="3085" max="3328" width="9" style="368"/>
    <col min="3329" max="3329" width="19.625" style="368" customWidth="1"/>
    <col min="3330" max="3333" width="11.625" style="368" customWidth="1"/>
    <col min="3334" max="3334" width="11" style="368" customWidth="1"/>
    <col min="3335" max="3335" width="21.25" style="368" customWidth="1"/>
    <col min="3336" max="3339" width="11.625" style="368" customWidth="1"/>
    <col min="3340" max="3340" width="11" style="368" customWidth="1"/>
    <col min="3341" max="3584" width="9" style="368"/>
    <col min="3585" max="3585" width="19.625" style="368" customWidth="1"/>
    <col min="3586" max="3589" width="11.625" style="368" customWidth="1"/>
    <col min="3590" max="3590" width="11" style="368" customWidth="1"/>
    <col min="3591" max="3591" width="21.25" style="368" customWidth="1"/>
    <col min="3592" max="3595" width="11.625" style="368" customWidth="1"/>
    <col min="3596" max="3596" width="11" style="368" customWidth="1"/>
    <col min="3597" max="3840" width="9" style="368"/>
    <col min="3841" max="3841" width="19.625" style="368" customWidth="1"/>
    <col min="3842" max="3845" width="11.625" style="368" customWidth="1"/>
    <col min="3846" max="3846" width="11" style="368" customWidth="1"/>
    <col min="3847" max="3847" width="21.25" style="368" customWidth="1"/>
    <col min="3848" max="3851" width="11.625" style="368" customWidth="1"/>
    <col min="3852" max="3852" width="11" style="368" customWidth="1"/>
    <col min="3853" max="4096" width="9" style="368"/>
    <col min="4097" max="4097" width="19.625" style="368" customWidth="1"/>
    <col min="4098" max="4101" width="11.625" style="368" customWidth="1"/>
    <col min="4102" max="4102" width="11" style="368" customWidth="1"/>
    <col min="4103" max="4103" width="21.25" style="368" customWidth="1"/>
    <col min="4104" max="4107" width="11.625" style="368" customWidth="1"/>
    <col min="4108" max="4108" width="11" style="368" customWidth="1"/>
    <col min="4109" max="4352" width="9" style="368"/>
    <col min="4353" max="4353" width="19.625" style="368" customWidth="1"/>
    <col min="4354" max="4357" width="11.625" style="368" customWidth="1"/>
    <col min="4358" max="4358" width="11" style="368" customWidth="1"/>
    <col min="4359" max="4359" width="21.25" style="368" customWidth="1"/>
    <col min="4360" max="4363" width="11.625" style="368" customWidth="1"/>
    <col min="4364" max="4364" width="11" style="368" customWidth="1"/>
    <col min="4365" max="4608" width="9" style="368"/>
    <col min="4609" max="4609" width="19.625" style="368" customWidth="1"/>
    <col min="4610" max="4613" width="11.625" style="368" customWidth="1"/>
    <col min="4614" max="4614" width="11" style="368" customWidth="1"/>
    <col min="4615" max="4615" width="21.25" style="368" customWidth="1"/>
    <col min="4616" max="4619" width="11.625" style="368" customWidth="1"/>
    <col min="4620" max="4620" width="11" style="368" customWidth="1"/>
    <col min="4621" max="4864" width="9" style="368"/>
    <col min="4865" max="4865" width="19.625" style="368" customWidth="1"/>
    <col min="4866" max="4869" width="11.625" style="368" customWidth="1"/>
    <col min="4870" max="4870" width="11" style="368" customWidth="1"/>
    <col min="4871" max="4871" width="21.25" style="368" customWidth="1"/>
    <col min="4872" max="4875" width="11.625" style="368" customWidth="1"/>
    <col min="4876" max="4876" width="11" style="368" customWidth="1"/>
    <col min="4877" max="5120" width="9" style="368"/>
    <col min="5121" max="5121" width="19.625" style="368" customWidth="1"/>
    <col min="5122" max="5125" width="11.625" style="368" customWidth="1"/>
    <col min="5126" max="5126" width="11" style="368" customWidth="1"/>
    <col min="5127" max="5127" width="21.25" style="368" customWidth="1"/>
    <col min="5128" max="5131" width="11.625" style="368" customWidth="1"/>
    <col min="5132" max="5132" width="11" style="368" customWidth="1"/>
    <col min="5133" max="5376" width="9" style="368"/>
    <col min="5377" max="5377" width="19.625" style="368" customWidth="1"/>
    <col min="5378" max="5381" width="11.625" style="368" customWidth="1"/>
    <col min="5382" max="5382" width="11" style="368" customWidth="1"/>
    <col min="5383" max="5383" width="21.25" style="368" customWidth="1"/>
    <col min="5384" max="5387" width="11.625" style="368" customWidth="1"/>
    <col min="5388" max="5388" width="11" style="368" customWidth="1"/>
    <col min="5389" max="5632" width="9" style="368"/>
    <col min="5633" max="5633" width="19.625" style="368" customWidth="1"/>
    <col min="5634" max="5637" width="11.625" style="368" customWidth="1"/>
    <col min="5638" max="5638" width="11" style="368" customWidth="1"/>
    <col min="5639" max="5639" width="21.25" style="368" customWidth="1"/>
    <col min="5640" max="5643" width="11.625" style="368" customWidth="1"/>
    <col min="5644" max="5644" width="11" style="368" customWidth="1"/>
    <col min="5645" max="5888" width="9" style="368"/>
    <col min="5889" max="5889" width="19.625" style="368" customWidth="1"/>
    <col min="5890" max="5893" width="11.625" style="368" customWidth="1"/>
    <col min="5894" max="5894" width="11" style="368" customWidth="1"/>
    <col min="5895" max="5895" width="21.25" style="368" customWidth="1"/>
    <col min="5896" max="5899" width="11.625" style="368" customWidth="1"/>
    <col min="5900" max="5900" width="11" style="368" customWidth="1"/>
    <col min="5901" max="6144" width="9" style="368"/>
    <col min="6145" max="6145" width="19.625" style="368" customWidth="1"/>
    <col min="6146" max="6149" width="11.625" style="368" customWidth="1"/>
    <col min="6150" max="6150" width="11" style="368" customWidth="1"/>
    <col min="6151" max="6151" width="21.25" style="368" customWidth="1"/>
    <col min="6152" max="6155" width="11.625" style="368" customWidth="1"/>
    <col min="6156" max="6156" width="11" style="368" customWidth="1"/>
    <col min="6157" max="6400" width="9" style="368"/>
    <col min="6401" max="6401" width="19.625" style="368" customWidth="1"/>
    <col min="6402" max="6405" width="11.625" style="368" customWidth="1"/>
    <col min="6406" max="6406" width="11" style="368" customWidth="1"/>
    <col min="6407" max="6407" width="21.25" style="368" customWidth="1"/>
    <col min="6408" max="6411" width="11.625" style="368" customWidth="1"/>
    <col min="6412" max="6412" width="11" style="368" customWidth="1"/>
    <col min="6413" max="6656" width="9" style="368"/>
    <col min="6657" max="6657" width="19.625" style="368" customWidth="1"/>
    <col min="6658" max="6661" width="11.625" style="368" customWidth="1"/>
    <col min="6662" max="6662" width="11" style="368" customWidth="1"/>
    <col min="6663" max="6663" width="21.25" style="368" customWidth="1"/>
    <col min="6664" max="6667" width="11.625" style="368" customWidth="1"/>
    <col min="6668" max="6668" width="11" style="368" customWidth="1"/>
    <col min="6669" max="6912" width="9" style="368"/>
    <col min="6913" max="6913" width="19.625" style="368" customWidth="1"/>
    <col min="6914" max="6917" width="11.625" style="368" customWidth="1"/>
    <col min="6918" max="6918" width="11" style="368" customWidth="1"/>
    <col min="6919" max="6919" width="21.25" style="368" customWidth="1"/>
    <col min="6920" max="6923" width="11.625" style="368" customWidth="1"/>
    <col min="6924" max="6924" width="11" style="368" customWidth="1"/>
    <col min="6925" max="7168" width="9" style="368"/>
    <col min="7169" max="7169" width="19.625" style="368" customWidth="1"/>
    <col min="7170" max="7173" width="11.625" style="368" customWidth="1"/>
    <col min="7174" max="7174" width="11" style="368" customWidth="1"/>
    <col min="7175" max="7175" width="21.25" style="368" customWidth="1"/>
    <col min="7176" max="7179" width="11.625" style="368" customWidth="1"/>
    <col min="7180" max="7180" width="11" style="368" customWidth="1"/>
    <col min="7181" max="7424" width="9" style="368"/>
    <col min="7425" max="7425" width="19.625" style="368" customWidth="1"/>
    <col min="7426" max="7429" width="11.625" style="368" customWidth="1"/>
    <col min="7430" max="7430" width="11" style="368" customWidth="1"/>
    <col min="7431" max="7431" width="21.25" style="368" customWidth="1"/>
    <col min="7432" max="7435" width="11.625" style="368" customWidth="1"/>
    <col min="7436" max="7436" width="11" style="368" customWidth="1"/>
    <col min="7437" max="7680" width="9" style="368"/>
    <col min="7681" max="7681" width="19.625" style="368" customWidth="1"/>
    <col min="7682" max="7685" width="11.625" style="368" customWidth="1"/>
    <col min="7686" max="7686" width="11" style="368" customWidth="1"/>
    <col min="7687" max="7687" width="21.25" style="368" customWidth="1"/>
    <col min="7688" max="7691" width="11.625" style="368" customWidth="1"/>
    <col min="7692" max="7692" width="11" style="368" customWidth="1"/>
    <col min="7693" max="7936" width="9" style="368"/>
    <col min="7937" max="7937" width="19.625" style="368" customWidth="1"/>
    <col min="7938" max="7941" width="11.625" style="368" customWidth="1"/>
    <col min="7942" max="7942" width="11" style="368" customWidth="1"/>
    <col min="7943" max="7943" width="21.25" style="368" customWidth="1"/>
    <col min="7944" max="7947" width="11.625" style="368" customWidth="1"/>
    <col min="7948" max="7948" width="11" style="368" customWidth="1"/>
    <col min="7949" max="8192" width="9" style="368"/>
    <col min="8193" max="8193" width="19.625" style="368" customWidth="1"/>
    <col min="8194" max="8197" width="11.625" style="368" customWidth="1"/>
    <col min="8198" max="8198" width="11" style="368" customWidth="1"/>
    <col min="8199" max="8199" width="21.25" style="368" customWidth="1"/>
    <col min="8200" max="8203" width="11.625" style="368" customWidth="1"/>
    <col min="8204" max="8204" width="11" style="368" customWidth="1"/>
    <col min="8205" max="8448" width="9" style="368"/>
    <col min="8449" max="8449" width="19.625" style="368" customWidth="1"/>
    <col min="8450" max="8453" width="11.625" style="368" customWidth="1"/>
    <col min="8454" max="8454" width="11" style="368" customWidth="1"/>
    <col min="8455" max="8455" width="21.25" style="368" customWidth="1"/>
    <col min="8456" max="8459" width="11.625" style="368" customWidth="1"/>
    <col min="8460" max="8460" width="11" style="368" customWidth="1"/>
    <col min="8461" max="8704" width="9" style="368"/>
    <col min="8705" max="8705" width="19.625" style="368" customWidth="1"/>
    <col min="8706" max="8709" width="11.625" style="368" customWidth="1"/>
    <col min="8710" max="8710" width="11" style="368" customWidth="1"/>
    <col min="8711" max="8711" width="21.25" style="368" customWidth="1"/>
    <col min="8712" max="8715" width="11.625" style="368" customWidth="1"/>
    <col min="8716" max="8716" width="11" style="368" customWidth="1"/>
    <col min="8717" max="8960" width="9" style="368"/>
    <col min="8961" max="8961" width="19.625" style="368" customWidth="1"/>
    <col min="8962" max="8965" width="11.625" style="368" customWidth="1"/>
    <col min="8966" max="8966" width="11" style="368" customWidth="1"/>
    <col min="8967" max="8967" width="21.25" style="368" customWidth="1"/>
    <col min="8968" max="8971" width="11.625" style="368" customWidth="1"/>
    <col min="8972" max="8972" width="11" style="368" customWidth="1"/>
    <col min="8973" max="9216" width="9" style="368"/>
    <col min="9217" max="9217" width="19.625" style="368" customWidth="1"/>
    <col min="9218" max="9221" width="11.625" style="368" customWidth="1"/>
    <col min="9222" max="9222" width="11" style="368" customWidth="1"/>
    <col min="9223" max="9223" width="21.25" style="368" customWidth="1"/>
    <col min="9224" max="9227" width="11.625" style="368" customWidth="1"/>
    <col min="9228" max="9228" width="11" style="368" customWidth="1"/>
    <col min="9229" max="9472" width="9" style="368"/>
    <col min="9473" max="9473" width="19.625" style="368" customWidth="1"/>
    <col min="9474" max="9477" width="11.625" style="368" customWidth="1"/>
    <col min="9478" max="9478" width="11" style="368" customWidth="1"/>
    <col min="9479" max="9479" width="21.25" style="368" customWidth="1"/>
    <col min="9480" max="9483" width="11.625" style="368" customWidth="1"/>
    <col min="9484" max="9484" width="11" style="368" customWidth="1"/>
    <col min="9485" max="9728" width="9" style="368"/>
    <col min="9729" max="9729" width="19.625" style="368" customWidth="1"/>
    <col min="9730" max="9733" width="11.625" style="368" customWidth="1"/>
    <col min="9734" max="9734" width="11" style="368" customWidth="1"/>
    <col min="9735" max="9735" width="21.25" style="368" customWidth="1"/>
    <col min="9736" max="9739" width="11.625" style="368" customWidth="1"/>
    <col min="9740" max="9740" width="11" style="368" customWidth="1"/>
    <col min="9741" max="9984" width="9" style="368"/>
    <col min="9985" max="9985" width="19.625" style="368" customWidth="1"/>
    <col min="9986" max="9989" width="11.625" style="368" customWidth="1"/>
    <col min="9990" max="9990" width="11" style="368" customWidth="1"/>
    <col min="9991" max="9991" width="21.25" style="368" customWidth="1"/>
    <col min="9992" max="9995" width="11.625" style="368" customWidth="1"/>
    <col min="9996" max="9996" width="11" style="368" customWidth="1"/>
    <col min="9997" max="10240" width="9" style="368"/>
    <col min="10241" max="10241" width="19.625" style="368" customWidth="1"/>
    <col min="10242" max="10245" width="11.625" style="368" customWidth="1"/>
    <col min="10246" max="10246" width="11" style="368" customWidth="1"/>
    <col min="10247" max="10247" width="21.25" style="368" customWidth="1"/>
    <col min="10248" max="10251" width="11.625" style="368" customWidth="1"/>
    <col min="10252" max="10252" width="11" style="368" customWidth="1"/>
    <col min="10253" max="10496" width="9" style="368"/>
    <col min="10497" max="10497" width="19.625" style="368" customWidth="1"/>
    <col min="10498" max="10501" width="11.625" style="368" customWidth="1"/>
    <col min="10502" max="10502" width="11" style="368" customWidth="1"/>
    <col min="10503" max="10503" width="21.25" style="368" customWidth="1"/>
    <col min="10504" max="10507" width="11.625" style="368" customWidth="1"/>
    <col min="10508" max="10508" width="11" style="368" customWidth="1"/>
    <col min="10509" max="10752" width="9" style="368"/>
    <col min="10753" max="10753" width="19.625" style="368" customWidth="1"/>
    <col min="10754" max="10757" width="11.625" style="368" customWidth="1"/>
    <col min="10758" max="10758" width="11" style="368" customWidth="1"/>
    <col min="10759" max="10759" width="21.25" style="368" customWidth="1"/>
    <col min="10760" max="10763" width="11.625" style="368" customWidth="1"/>
    <col min="10764" max="10764" width="11" style="368" customWidth="1"/>
    <col min="10765" max="11008" width="9" style="368"/>
    <col min="11009" max="11009" width="19.625" style="368" customWidth="1"/>
    <col min="11010" max="11013" width="11.625" style="368" customWidth="1"/>
    <col min="11014" max="11014" width="11" style="368" customWidth="1"/>
    <col min="11015" max="11015" width="21.25" style="368" customWidth="1"/>
    <col min="11016" max="11019" width="11.625" style="368" customWidth="1"/>
    <col min="11020" max="11020" width="11" style="368" customWidth="1"/>
    <col min="11021" max="11264" width="9" style="368"/>
    <col min="11265" max="11265" width="19.625" style="368" customWidth="1"/>
    <col min="11266" max="11269" width="11.625" style="368" customWidth="1"/>
    <col min="11270" max="11270" width="11" style="368" customWidth="1"/>
    <col min="11271" max="11271" width="21.25" style="368" customWidth="1"/>
    <col min="11272" max="11275" width="11.625" style="368" customWidth="1"/>
    <col min="11276" max="11276" width="11" style="368" customWidth="1"/>
    <col min="11277" max="11520" width="9" style="368"/>
    <col min="11521" max="11521" width="19.625" style="368" customWidth="1"/>
    <col min="11522" max="11525" width="11.625" style="368" customWidth="1"/>
    <col min="11526" max="11526" width="11" style="368" customWidth="1"/>
    <col min="11527" max="11527" width="21.25" style="368" customWidth="1"/>
    <col min="11528" max="11531" width="11.625" style="368" customWidth="1"/>
    <col min="11532" max="11532" width="11" style="368" customWidth="1"/>
    <col min="11533" max="11776" width="9" style="368"/>
    <col min="11777" max="11777" width="19.625" style="368" customWidth="1"/>
    <col min="11778" max="11781" width="11.625" style="368" customWidth="1"/>
    <col min="11782" max="11782" width="11" style="368" customWidth="1"/>
    <col min="11783" max="11783" width="21.25" style="368" customWidth="1"/>
    <col min="11784" max="11787" width="11.625" style="368" customWidth="1"/>
    <col min="11788" max="11788" width="11" style="368" customWidth="1"/>
    <col min="11789" max="12032" width="9" style="368"/>
    <col min="12033" max="12033" width="19.625" style="368" customWidth="1"/>
    <col min="12034" max="12037" width="11.625" style="368" customWidth="1"/>
    <col min="12038" max="12038" width="11" style="368" customWidth="1"/>
    <col min="12039" max="12039" width="21.25" style="368" customWidth="1"/>
    <col min="12040" max="12043" width="11.625" style="368" customWidth="1"/>
    <col min="12044" max="12044" width="11" style="368" customWidth="1"/>
    <col min="12045" max="12288" width="9" style="368"/>
    <col min="12289" max="12289" width="19.625" style="368" customWidth="1"/>
    <col min="12290" max="12293" width="11.625" style="368" customWidth="1"/>
    <col min="12294" max="12294" width="11" style="368" customWidth="1"/>
    <col min="12295" max="12295" width="21.25" style="368" customWidth="1"/>
    <col min="12296" max="12299" width="11.625" style="368" customWidth="1"/>
    <col min="12300" max="12300" width="11" style="368" customWidth="1"/>
    <col min="12301" max="12544" width="9" style="368"/>
    <col min="12545" max="12545" width="19.625" style="368" customWidth="1"/>
    <col min="12546" max="12549" width="11.625" style="368" customWidth="1"/>
    <col min="12550" max="12550" width="11" style="368" customWidth="1"/>
    <col min="12551" max="12551" width="21.25" style="368" customWidth="1"/>
    <col min="12552" max="12555" width="11.625" style="368" customWidth="1"/>
    <col min="12556" max="12556" width="11" style="368" customWidth="1"/>
    <col min="12557" max="12800" width="9" style="368"/>
    <col min="12801" max="12801" width="19.625" style="368" customWidth="1"/>
    <col min="12802" max="12805" width="11.625" style="368" customWidth="1"/>
    <col min="12806" max="12806" width="11" style="368" customWidth="1"/>
    <col min="12807" max="12807" width="21.25" style="368" customWidth="1"/>
    <col min="12808" max="12811" width="11.625" style="368" customWidth="1"/>
    <col min="12812" max="12812" width="11" style="368" customWidth="1"/>
    <col min="12813" max="13056" width="9" style="368"/>
    <col min="13057" max="13057" width="19.625" style="368" customWidth="1"/>
    <col min="13058" max="13061" width="11.625" style="368" customWidth="1"/>
    <col min="13062" max="13062" width="11" style="368" customWidth="1"/>
    <col min="13063" max="13063" width="21.25" style="368" customWidth="1"/>
    <col min="13064" max="13067" width="11.625" style="368" customWidth="1"/>
    <col min="13068" max="13068" width="11" style="368" customWidth="1"/>
    <col min="13069" max="13312" width="9" style="368"/>
    <col min="13313" max="13313" width="19.625" style="368" customWidth="1"/>
    <col min="13314" max="13317" width="11.625" style="368" customWidth="1"/>
    <col min="13318" max="13318" width="11" style="368" customWidth="1"/>
    <col min="13319" max="13319" width="21.25" style="368" customWidth="1"/>
    <col min="13320" max="13323" width="11.625" style="368" customWidth="1"/>
    <col min="13324" max="13324" width="11" style="368" customWidth="1"/>
    <col min="13325" max="13568" width="9" style="368"/>
    <col min="13569" max="13569" width="19.625" style="368" customWidth="1"/>
    <col min="13570" max="13573" width="11.625" style="368" customWidth="1"/>
    <col min="13574" max="13574" width="11" style="368" customWidth="1"/>
    <col min="13575" max="13575" width="21.25" style="368" customWidth="1"/>
    <col min="13576" max="13579" width="11.625" style="368" customWidth="1"/>
    <col min="13580" max="13580" width="11" style="368" customWidth="1"/>
    <col min="13581" max="13824" width="9" style="368"/>
    <col min="13825" max="13825" width="19.625" style="368" customWidth="1"/>
    <col min="13826" max="13829" width="11.625" style="368" customWidth="1"/>
    <col min="13830" max="13830" width="11" style="368" customWidth="1"/>
    <col min="13831" max="13831" width="21.25" style="368" customWidth="1"/>
    <col min="13832" max="13835" width="11.625" style="368" customWidth="1"/>
    <col min="13836" max="13836" width="11" style="368" customWidth="1"/>
    <col min="13837" max="14080" width="9" style="368"/>
    <col min="14081" max="14081" width="19.625" style="368" customWidth="1"/>
    <col min="14082" max="14085" width="11.625" style="368" customWidth="1"/>
    <col min="14086" max="14086" width="11" style="368" customWidth="1"/>
    <col min="14087" max="14087" width="21.25" style="368" customWidth="1"/>
    <col min="14088" max="14091" width="11.625" style="368" customWidth="1"/>
    <col min="14092" max="14092" width="11" style="368" customWidth="1"/>
    <col min="14093" max="14336" width="9" style="368"/>
    <col min="14337" max="14337" width="19.625" style="368" customWidth="1"/>
    <col min="14338" max="14341" width="11.625" style="368" customWidth="1"/>
    <col min="14342" max="14342" width="11" style="368" customWidth="1"/>
    <col min="14343" max="14343" width="21.25" style="368" customWidth="1"/>
    <col min="14344" max="14347" width="11.625" style="368" customWidth="1"/>
    <col min="14348" max="14348" width="11" style="368" customWidth="1"/>
    <col min="14349" max="14592" width="9" style="368"/>
    <col min="14593" max="14593" width="19.625" style="368" customWidth="1"/>
    <col min="14594" max="14597" width="11.625" style="368" customWidth="1"/>
    <col min="14598" max="14598" width="11" style="368" customWidth="1"/>
    <col min="14599" max="14599" width="21.25" style="368" customWidth="1"/>
    <col min="14600" max="14603" width="11.625" style="368" customWidth="1"/>
    <col min="14604" max="14604" width="11" style="368" customWidth="1"/>
    <col min="14605" max="14848" width="9" style="368"/>
    <col min="14849" max="14849" width="19.625" style="368" customWidth="1"/>
    <col min="14850" max="14853" width="11.625" style="368" customWidth="1"/>
    <col min="14854" max="14854" width="11" style="368" customWidth="1"/>
    <col min="14855" max="14855" width="21.25" style="368" customWidth="1"/>
    <col min="14856" max="14859" width="11.625" style="368" customWidth="1"/>
    <col min="14860" max="14860" width="11" style="368" customWidth="1"/>
    <col min="14861" max="15104" width="9" style="368"/>
    <col min="15105" max="15105" width="19.625" style="368" customWidth="1"/>
    <col min="15106" max="15109" width="11.625" style="368" customWidth="1"/>
    <col min="15110" max="15110" width="11" style="368" customWidth="1"/>
    <col min="15111" max="15111" width="21.25" style="368" customWidth="1"/>
    <col min="15112" max="15115" width="11.625" style="368" customWidth="1"/>
    <col min="15116" max="15116" width="11" style="368" customWidth="1"/>
    <col min="15117" max="15360" width="9" style="368"/>
    <col min="15361" max="15361" width="19.625" style="368" customWidth="1"/>
    <col min="15362" max="15365" width="11.625" style="368" customWidth="1"/>
    <col min="15366" max="15366" width="11" style="368" customWidth="1"/>
    <col min="15367" max="15367" width="21.25" style="368" customWidth="1"/>
    <col min="15368" max="15371" width="11.625" style="368" customWidth="1"/>
    <col min="15372" max="15372" width="11" style="368" customWidth="1"/>
    <col min="15373" max="15616" width="9" style="368"/>
    <col min="15617" max="15617" width="19.625" style="368" customWidth="1"/>
    <col min="15618" max="15621" width="11.625" style="368" customWidth="1"/>
    <col min="15622" max="15622" width="11" style="368" customWidth="1"/>
    <col min="15623" max="15623" width="21.25" style="368" customWidth="1"/>
    <col min="15624" max="15627" width="11.625" style="368" customWidth="1"/>
    <col min="15628" max="15628" width="11" style="368" customWidth="1"/>
    <col min="15629" max="15872" width="9" style="368"/>
    <col min="15873" max="15873" width="19.625" style="368" customWidth="1"/>
    <col min="15874" max="15877" width="11.625" style="368" customWidth="1"/>
    <col min="15878" max="15878" width="11" style="368" customWidth="1"/>
    <col min="15879" max="15879" width="21.25" style="368" customWidth="1"/>
    <col min="15880" max="15883" width="11.625" style="368" customWidth="1"/>
    <col min="15884" max="15884" width="11" style="368" customWidth="1"/>
    <col min="15885" max="16128" width="9" style="368"/>
    <col min="16129" max="16129" width="19.625" style="368" customWidth="1"/>
    <col min="16130" max="16133" width="11.625" style="368" customWidth="1"/>
    <col min="16134" max="16134" width="11" style="368" customWidth="1"/>
    <col min="16135" max="16135" width="21.25" style="368" customWidth="1"/>
    <col min="16136" max="16139" width="11.625" style="368" customWidth="1"/>
    <col min="16140" max="16140" width="11" style="368" customWidth="1"/>
    <col min="16141" max="16384" width="9" style="368"/>
  </cols>
  <sheetData>
    <row r="1" spans="1:12" ht="36.75" customHeight="1">
      <c r="A1" s="722" t="s">
        <v>1595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18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71" t="s">
        <v>1596</v>
      </c>
    </row>
    <row r="3" spans="1:12" s="349" customFormat="1" ht="18.75" customHeight="1" thickBot="1">
      <c r="A3" s="343" t="s">
        <v>1499</v>
      </c>
      <c r="B3" s="387"/>
      <c r="C3" s="387"/>
      <c r="D3" s="387"/>
      <c r="E3" s="388"/>
      <c r="F3" s="389"/>
      <c r="G3" s="387"/>
      <c r="H3" s="387"/>
      <c r="I3" s="387"/>
      <c r="J3" s="387"/>
      <c r="K3" s="387"/>
      <c r="L3" s="371" t="s">
        <v>1569</v>
      </c>
    </row>
    <row r="4" spans="1:12" s="349" customFormat="1" ht="27.75" customHeight="1">
      <c r="A4" s="723" t="s">
        <v>1597</v>
      </c>
      <c r="B4" s="725" t="s">
        <v>1598</v>
      </c>
      <c r="C4" s="725" t="s">
        <v>1599</v>
      </c>
      <c r="D4" s="727"/>
      <c r="E4" s="727"/>
      <c r="F4" s="728" t="s">
        <v>1600</v>
      </c>
      <c r="G4" s="723" t="s">
        <v>1597</v>
      </c>
      <c r="H4" s="725" t="s">
        <v>1601</v>
      </c>
      <c r="I4" s="725" t="s">
        <v>1599</v>
      </c>
      <c r="J4" s="727"/>
      <c r="K4" s="727"/>
      <c r="L4" s="728" t="s">
        <v>1600</v>
      </c>
    </row>
    <row r="5" spans="1:12" s="349" customFormat="1" ht="38.25" customHeight="1" thickBot="1">
      <c r="A5" s="724"/>
      <c r="B5" s="726"/>
      <c r="C5" s="390" t="s">
        <v>1602</v>
      </c>
      <c r="D5" s="390" t="s">
        <v>1603</v>
      </c>
      <c r="E5" s="390" t="s">
        <v>1604</v>
      </c>
      <c r="F5" s="729"/>
      <c r="G5" s="724"/>
      <c r="H5" s="726"/>
      <c r="I5" s="390" t="s">
        <v>1602</v>
      </c>
      <c r="J5" s="390" t="s">
        <v>1605</v>
      </c>
      <c r="K5" s="390" t="s">
        <v>1604</v>
      </c>
      <c r="L5" s="729"/>
    </row>
    <row r="6" spans="1:12" s="349" customFormat="1" ht="30" customHeight="1">
      <c r="A6" s="225" t="s">
        <v>1606</v>
      </c>
      <c r="B6" s="223">
        <f>C6+F6</f>
        <v>18235907434.909996</v>
      </c>
      <c r="C6" s="223">
        <f>SUM(D6:E6)</f>
        <v>16934783362.829998</v>
      </c>
      <c r="D6" s="223">
        <f>6608561011.53+349498843.18</f>
        <v>6958059854.71</v>
      </c>
      <c r="E6" s="223">
        <f>9275470278.23+701253229.89</f>
        <v>9976723508.1199989</v>
      </c>
      <c r="F6" s="224">
        <v>1301124072.0799999</v>
      </c>
      <c r="G6" s="225" t="s">
        <v>1607</v>
      </c>
      <c r="H6" s="223">
        <f>I6+L6</f>
        <v>9943047271.920002</v>
      </c>
      <c r="I6" s="223">
        <f>SUM(J6:K6)</f>
        <v>8916694661.1300011</v>
      </c>
      <c r="J6" s="357">
        <f>SUM(J7:J8)</f>
        <v>4716353724.54</v>
      </c>
      <c r="K6" s="223">
        <f>SUM(K7:K8)</f>
        <v>4200340936.5900002</v>
      </c>
      <c r="L6" s="229">
        <f>SUM(L7:L8)</f>
        <v>1026352610.79</v>
      </c>
    </row>
    <row r="7" spans="1:12" s="349" customFormat="1" ht="30" customHeight="1">
      <c r="A7" s="228" t="s">
        <v>1532</v>
      </c>
      <c r="B7" s="226">
        <f>C7+F7</f>
        <v>630003497.94000006</v>
      </c>
      <c r="C7" s="226">
        <f>SUM(D7:E7)</f>
        <v>620694026.75</v>
      </c>
      <c r="D7" s="226">
        <f>498091243.4+10899927.93</f>
        <v>508991171.32999998</v>
      </c>
      <c r="E7" s="226">
        <f>31092331.18+80610524.24</f>
        <v>111702855.41999999</v>
      </c>
      <c r="F7" s="227">
        <v>9309471.1899999995</v>
      </c>
      <c r="G7" s="228" t="s">
        <v>1608</v>
      </c>
      <c r="H7" s="226">
        <f>I7+L7</f>
        <v>3800402891.5499997</v>
      </c>
      <c r="I7" s="226">
        <f>SUM(J7:K7)</f>
        <v>3297539872.4299998</v>
      </c>
      <c r="J7" s="207">
        <v>3297539872.4299998</v>
      </c>
      <c r="K7" s="226"/>
      <c r="L7" s="229">
        <v>502863019.12</v>
      </c>
    </row>
    <row r="8" spans="1:12" s="349" customFormat="1" ht="30" customHeight="1">
      <c r="A8" s="228" t="s">
        <v>1609</v>
      </c>
      <c r="B8" s="226">
        <f>C8+F8</f>
        <v>0</v>
      </c>
      <c r="C8" s="226">
        <f>SUM(D8:E8)</f>
        <v>0</v>
      </c>
      <c r="D8" s="226"/>
      <c r="E8" s="226"/>
      <c r="F8" s="227"/>
      <c r="G8" s="230" t="s">
        <v>1610</v>
      </c>
      <c r="H8" s="226">
        <f>I8+L8</f>
        <v>6142644380.3699999</v>
      </c>
      <c r="I8" s="226">
        <f>SUM(J8:K8)</f>
        <v>5619154788.6999998</v>
      </c>
      <c r="J8" s="207">
        <v>1418813852.1099999</v>
      </c>
      <c r="K8" s="226">
        <v>4200340936.5900002</v>
      </c>
      <c r="L8" s="224">
        <v>523489591.66999996</v>
      </c>
    </row>
    <row r="9" spans="1:12" s="349" customFormat="1" ht="30" customHeight="1">
      <c r="A9" s="228" t="s">
        <v>1536</v>
      </c>
      <c r="B9" s="226">
        <f>C9+F9</f>
        <v>141425860.44</v>
      </c>
      <c r="C9" s="226">
        <f>SUM(D9:E9)</f>
        <v>140938435.80000001</v>
      </c>
      <c r="D9" s="226">
        <f>5908369.92+42.14</f>
        <v>5908412.0599999996</v>
      </c>
      <c r="E9" s="226">
        <f>122743563.74+12286460</f>
        <v>135030023.74000001</v>
      </c>
      <c r="F9" s="227">
        <v>487424.64</v>
      </c>
      <c r="G9" s="228" t="s">
        <v>1611</v>
      </c>
      <c r="H9" s="226">
        <f>I9+L9</f>
        <v>41859761.649999999</v>
      </c>
      <c r="I9" s="226">
        <f>SUM(J9:K9)</f>
        <v>41859761.649999999</v>
      </c>
      <c r="J9" s="226">
        <v>41859761.649999999</v>
      </c>
      <c r="K9" s="226"/>
      <c r="L9" s="227"/>
    </row>
    <row r="10" spans="1:12" s="349" customFormat="1" ht="30" customHeight="1">
      <c r="A10" s="391" t="s">
        <v>1612</v>
      </c>
      <c r="B10" s="226">
        <f>C10+F10</f>
        <v>6316555.3399999999</v>
      </c>
      <c r="C10" s="226">
        <f>SUM(D10:E10)</f>
        <v>5829130.7000000002</v>
      </c>
      <c r="D10" s="226">
        <v>5829130.7000000002</v>
      </c>
      <c r="E10" s="226"/>
      <c r="F10" s="227">
        <v>487424.64</v>
      </c>
      <c r="G10" s="231" t="s">
        <v>1542</v>
      </c>
      <c r="H10" s="232" t="s">
        <v>1542</v>
      </c>
      <c r="I10" s="232" t="s">
        <v>1542</v>
      </c>
      <c r="J10" s="232" t="s">
        <v>1542</v>
      </c>
      <c r="K10" s="232" t="s">
        <v>1542</v>
      </c>
      <c r="L10" s="233" t="s">
        <v>1542</v>
      </c>
    </row>
    <row r="11" spans="1:12" s="349" customFormat="1" ht="30" customHeight="1">
      <c r="A11" s="228" t="s">
        <v>1543</v>
      </c>
      <c r="B11" s="226">
        <f>C11</f>
        <v>32080217.709999997</v>
      </c>
      <c r="C11" s="226">
        <f>E11</f>
        <v>32080217.709999997</v>
      </c>
      <c r="D11" s="234" t="s">
        <v>1542</v>
      </c>
      <c r="E11" s="226">
        <f>-15001836.7+47082054.41</f>
        <v>32080217.709999997</v>
      </c>
      <c r="F11" s="235" t="s">
        <v>1542</v>
      </c>
      <c r="G11" s="228" t="s">
        <v>1613</v>
      </c>
      <c r="H11" s="226">
        <f>I11</f>
        <v>172734196.14999998</v>
      </c>
      <c r="I11" s="226">
        <f>K11</f>
        <v>172734196.14999998</v>
      </c>
      <c r="J11" s="232" t="s">
        <v>1542</v>
      </c>
      <c r="K11" s="226">
        <f>142835016.04+29899180.11</f>
        <v>172734196.14999998</v>
      </c>
      <c r="L11" s="233" t="s">
        <v>1542</v>
      </c>
    </row>
    <row r="12" spans="1:12" s="349" customFormat="1" ht="30" customHeight="1">
      <c r="A12" s="228" t="s">
        <v>1545</v>
      </c>
      <c r="B12" s="226">
        <f>C12+F12</f>
        <v>19039417010.999996</v>
      </c>
      <c r="C12" s="226">
        <f>SUM(D12:E12)</f>
        <v>17728496043.089996</v>
      </c>
      <c r="D12" s="226">
        <f>SUM(D6:D9)</f>
        <v>7472959438.1000004</v>
      </c>
      <c r="E12" s="226">
        <f>SUM(E6:E9)+E11</f>
        <v>10255536604.989998</v>
      </c>
      <c r="F12" s="227">
        <f>SUM(F6:F9)</f>
        <v>1310920967.9100001</v>
      </c>
      <c r="G12" s="228" t="s">
        <v>1614</v>
      </c>
      <c r="H12" s="226">
        <f>I12+L12</f>
        <v>10157641229.720001</v>
      </c>
      <c r="I12" s="226">
        <f>SUM(J12:K12)</f>
        <v>9131288618.9300003</v>
      </c>
      <c r="J12" s="226">
        <f>J6+J9</f>
        <v>4758213486.1899996</v>
      </c>
      <c r="K12" s="226">
        <f>K6+K9+K11</f>
        <v>4373075132.7399998</v>
      </c>
      <c r="L12" s="227">
        <f>L6+L9</f>
        <v>1026352610.79</v>
      </c>
    </row>
    <row r="13" spans="1:12" s="349" customFormat="1" ht="30" customHeight="1">
      <c r="A13" s="228" t="s">
        <v>1615</v>
      </c>
      <c r="B13" s="226">
        <f>C13+F13</f>
        <v>0</v>
      </c>
      <c r="C13" s="226">
        <f>D13</f>
        <v>0</v>
      </c>
      <c r="D13" s="226"/>
      <c r="E13" s="232" t="s">
        <v>1542</v>
      </c>
      <c r="F13" s="227"/>
      <c r="G13" s="228" t="s">
        <v>1616</v>
      </c>
      <c r="H13" s="226">
        <f t="shared" ref="H13:H18" si="0">I13+L13</f>
        <v>0</v>
      </c>
      <c r="I13" s="226">
        <f>J13</f>
        <v>0</v>
      </c>
      <c r="J13" s="226"/>
      <c r="K13" s="232" t="s">
        <v>1542</v>
      </c>
      <c r="L13" s="227"/>
    </row>
    <row r="14" spans="1:12" s="349" customFormat="1" ht="30" customHeight="1">
      <c r="A14" s="228" t="s">
        <v>1549</v>
      </c>
      <c r="B14" s="226">
        <f>C14+F14</f>
        <v>0</v>
      </c>
      <c r="C14" s="226">
        <f>D14</f>
        <v>0</v>
      </c>
      <c r="D14" s="226"/>
      <c r="E14" s="232" t="s">
        <v>1542</v>
      </c>
      <c r="F14" s="227"/>
      <c r="G14" s="228" t="s">
        <v>1617</v>
      </c>
      <c r="H14" s="226">
        <f t="shared" si="0"/>
        <v>0</v>
      </c>
      <c r="I14" s="226">
        <f>J14</f>
        <v>0</v>
      </c>
      <c r="J14" s="226"/>
      <c r="K14" s="232" t="s">
        <v>1542</v>
      </c>
      <c r="L14" s="227"/>
    </row>
    <row r="15" spans="1:12" s="349" customFormat="1" ht="30" customHeight="1">
      <c r="A15" s="228" t="s">
        <v>1551</v>
      </c>
      <c r="B15" s="226">
        <f>C15+F15</f>
        <v>19039417010.999996</v>
      </c>
      <c r="C15" s="226">
        <f>SUM(D15:E15)</f>
        <v>17728496043.089996</v>
      </c>
      <c r="D15" s="226">
        <f>SUM(D12:D14)</f>
        <v>7472959438.1000004</v>
      </c>
      <c r="E15" s="226">
        <f>E12</f>
        <v>10255536604.989998</v>
      </c>
      <c r="F15" s="227">
        <f>SUM(F12:F14)</f>
        <v>1310920967.9100001</v>
      </c>
      <c r="G15" s="228" t="s">
        <v>1618</v>
      </c>
      <c r="H15" s="226">
        <f t="shared" si="0"/>
        <v>10157641229.720001</v>
      </c>
      <c r="I15" s="226">
        <f>SUM(J15:K15)</f>
        <v>9131288618.9300003</v>
      </c>
      <c r="J15" s="226">
        <f>SUM(J12:J14)</f>
        <v>4758213486.1899996</v>
      </c>
      <c r="K15" s="226">
        <f>K12</f>
        <v>4373075132.7399998</v>
      </c>
      <c r="L15" s="227">
        <f>SUM(L12:L14)</f>
        <v>1026352610.79</v>
      </c>
    </row>
    <row r="16" spans="1:12" s="349" customFormat="1" ht="30" customHeight="1">
      <c r="A16" s="231" t="s">
        <v>1542</v>
      </c>
      <c r="B16" s="232" t="s">
        <v>1542</v>
      </c>
      <c r="C16" s="232" t="s">
        <v>1542</v>
      </c>
      <c r="D16" s="232" t="s">
        <v>1542</v>
      </c>
      <c r="E16" s="232" t="s">
        <v>1542</v>
      </c>
      <c r="F16" s="233" t="s">
        <v>1542</v>
      </c>
      <c r="G16" s="228" t="s">
        <v>1619</v>
      </c>
      <c r="H16" s="226">
        <f t="shared" si="0"/>
        <v>8881775781.2800007</v>
      </c>
      <c r="I16" s="226">
        <f>SUM(J16:K16)</f>
        <v>8597207424.1599998</v>
      </c>
      <c r="J16" s="226">
        <f>D15-J15</f>
        <v>2714745951.9100008</v>
      </c>
      <c r="K16" s="226">
        <f>E15-K15</f>
        <v>5882461472.2499981</v>
      </c>
      <c r="L16" s="227">
        <f>F15-L15</f>
        <v>284568357.12000012</v>
      </c>
    </row>
    <row r="17" spans="1:12" s="349" customFormat="1" ht="30" customHeight="1" thickBot="1">
      <c r="A17" s="238" t="s">
        <v>1554</v>
      </c>
      <c r="B17" s="236">
        <f>C17+F17</f>
        <v>45193608566.019997</v>
      </c>
      <c r="C17" s="236">
        <f>SUM(D17:E17)</f>
        <v>44906251901.419998</v>
      </c>
      <c r="D17" s="236">
        <v>13177591030.6</v>
      </c>
      <c r="E17" s="236">
        <v>31728660870.82</v>
      </c>
      <c r="F17" s="237">
        <v>287356664.5999999</v>
      </c>
      <c r="G17" s="238" t="s">
        <v>1620</v>
      </c>
      <c r="H17" s="236">
        <f t="shared" si="0"/>
        <v>54075384347.300003</v>
      </c>
      <c r="I17" s="236">
        <f>SUM(J17:K17)</f>
        <v>53503459325.580002</v>
      </c>
      <c r="J17" s="236">
        <f>D17+J16</f>
        <v>15892336982.510002</v>
      </c>
      <c r="K17" s="236">
        <f>E17+K16</f>
        <v>37611122343.07</v>
      </c>
      <c r="L17" s="237">
        <f>F17+L16</f>
        <v>571925021.72000003</v>
      </c>
    </row>
    <row r="18" spans="1:12" s="349" customFormat="1" ht="30" customHeight="1" thickBot="1">
      <c r="A18" s="239" t="s">
        <v>1621</v>
      </c>
      <c r="B18" s="392">
        <f>C18+F18</f>
        <v>64233025577.019997</v>
      </c>
      <c r="C18" s="392">
        <f>SUM(D18:E18)</f>
        <v>62634747944.509995</v>
      </c>
      <c r="D18" s="392">
        <f>D15+D17</f>
        <v>20650550468.700001</v>
      </c>
      <c r="E18" s="392">
        <f>E15+E17</f>
        <v>41984197475.809998</v>
      </c>
      <c r="F18" s="393">
        <f>F15+F17</f>
        <v>1598277632.51</v>
      </c>
      <c r="G18" s="239" t="s">
        <v>1621</v>
      </c>
      <c r="H18" s="392">
        <f t="shared" si="0"/>
        <v>64233025577.019997</v>
      </c>
      <c r="I18" s="392">
        <f>SUM(J18:K18)</f>
        <v>62634747944.509995</v>
      </c>
      <c r="J18" s="392">
        <f>J15+J17</f>
        <v>20650550468.700001</v>
      </c>
      <c r="K18" s="392">
        <f>K15+K17</f>
        <v>41984197475.809998</v>
      </c>
      <c r="L18" s="393">
        <f>L15+L17</f>
        <v>1598277632.51</v>
      </c>
    </row>
    <row r="19" spans="1:12" s="349" customFormat="1" ht="14.25" customHeight="1"/>
    <row r="20" spans="1:12" s="349" customFormat="1" ht="14.25" customHeight="1"/>
    <row r="21" spans="1:12" s="349" customFormat="1" ht="14.25" customHeight="1"/>
    <row r="22" spans="1:12" s="349" customFormat="1" ht="14.25" customHeight="1"/>
    <row r="23" spans="1:12" s="349" customFormat="1" ht="14.25" customHeight="1"/>
    <row r="24" spans="1:12" s="349" customFormat="1" ht="14.25" customHeight="1"/>
    <row r="25" spans="1:12" s="349" customFormat="1" ht="14.25" customHeight="1"/>
    <row r="26" spans="1:12" s="349" customFormat="1" ht="14.25" customHeight="1"/>
    <row r="27" spans="1:12" s="349" customFormat="1" ht="14.25" customHeight="1"/>
    <row r="28" spans="1:12" s="349" customFormat="1" ht="14.25" customHeight="1"/>
    <row r="29" spans="1:12" s="349" customFormat="1" ht="14.25" customHeight="1"/>
    <row r="30" spans="1:12" s="349" customFormat="1" ht="14.25" customHeight="1"/>
    <row r="31" spans="1:12" s="349" customFormat="1" ht="14.25" customHeight="1"/>
    <row r="32" spans="1:12" s="349" customFormat="1" ht="14.25" customHeight="1"/>
    <row r="33" s="349" customFormat="1" ht="14.25" customHeight="1"/>
    <row r="34" s="349" customFormat="1" ht="14.25" customHeight="1"/>
    <row r="35" s="349" customFormat="1" ht="14.25" customHeight="1"/>
    <row r="36" s="349" customFormat="1" ht="14.25" customHeight="1"/>
    <row r="37" s="349" customFormat="1" ht="14.25" customHeight="1"/>
    <row r="38" s="349" customFormat="1" ht="14.25" customHeight="1"/>
    <row r="39" s="349" customFormat="1" ht="14.25" customHeight="1"/>
    <row r="40" s="349" customFormat="1" ht="14.25" customHeight="1"/>
  </sheetData>
  <mergeCells count="9">
    <mergeCell ref="A1:L1"/>
    <mergeCell ref="A4:A5"/>
    <mergeCell ref="B4:B5"/>
    <mergeCell ref="C4:E4"/>
    <mergeCell ref="F4:F5"/>
    <mergeCell ref="G4:G5"/>
    <mergeCell ref="H4:H5"/>
    <mergeCell ref="I4:K4"/>
    <mergeCell ref="L4:L5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scale="87" orientation="landscape" errors="blank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A3" sqref="A1:XFD1048576"/>
    </sheetView>
  </sheetViews>
  <sheetFormatPr defaultRowHeight="14.25" customHeight="1"/>
  <cols>
    <col min="1" max="1" width="37.25" style="368" customWidth="1"/>
    <col min="2" max="2" width="24.5" style="368" customWidth="1"/>
    <col min="3" max="3" width="37.25" style="368" customWidth="1"/>
    <col min="4" max="4" width="24.5" style="368" customWidth="1"/>
    <col min="5" max="256" width="9" style="368"/>
    <col min="257" max="257" width="37.25" style="368" customWidth="1"/>
    <col min="258" max="258" width="24.5" style="368" customWidth="1"/>
    <col min="259" max="259" width="37.25" style="368" customWidth="1"/>
    <col min="260" max="260" width="24.5" style="368" customWidth="1"/>
    <col min="261" max="512" width="9" style="368"/>
    <col min="513" max="513" width="37.25" style="368" customWidth="1"/>
    <col min="514" max="514" width="24.5" style="368" customWidth="1"/>
    <col min="515" max="515" width="37.25" style="368" customWidth="1"/>
    <col min="516" max="516" width="24.5" style="368" customWidth="1"/>
    <col min="517" max="768" width="9" style="368"/>
    <col min="769" max="769" width="37.25" style="368" customWidth="1"/>
    <col min="770" max="770" width="24.5" style="368" customWidth="1"/>
    <col min="771" max="771" width="37.25" style="368" customWidth="1"/>
    <col min="772" max="772" width="24.5" style="368" customWidth="1"/>
    <col min="773" max="1024" width="9" style="368"/>
    <col min="1025" max="1025" width="37.25" style="368" customWidth="1"/>
    <col min="1026" max="1026" width="24.5" style="368" customWidth="1"/>
    <col min="1027" max="1027" width="37.25" style="368" customWidth="1"/>
    <col min="1028" max="1028" width="24.5" style="368" customWidth="1"/>
    <col min="1029" max="1280" width="9" style="368"/>
    <col min="1281" max="1281" width="37.25" style="368" customWidth="1"/>
    <col min="1282" max="1282" width="24.5" style="368" customWidth="1"/>
    <col min="1283" max="1283" width="37.25" style="368" customWidth="1"/>
    <col min="1284" max="1284" width="24.5" style="368" customWidth="1"/>
    <col min="1285" max="1536" width="9" style="368"/>
    <col min="1537" max="1537" width="37.25" style="368" customWidth="1"/>
    <col min="1538" max="1538" width="24.5" style="368" customWidth="1"/>
    <col min="1539" max="1539" width="37.25" style="368" customWidth="1"/>
    <col min="1540" max="1540" width="24.5" style="368" customWidth="1"/>
    <col min="1541" max="1792" width="9" style="368"/>
    <col min="1793" max="1793" width="37.25" style="368" customWidth="1"/>
    <col min="1794" max="1794" width="24.5" style="368" customWidth="1"/>
    <col min="1795" max="1795" width="37.25" style="368" customWidth="1"/>
    <col min="1796" max="1796" width="24.5" style="368" customWidth="1"/>
    <col min="1797" max="2048" width="9" style="368"/>
    <col min="2049" max="2049" width="37.25" style="368" customWidth="1"/>
    <col min="2050" max="2050" width="24.5" style="368" customWidth="1"/>
    <col min="2051" max="2051" width="37.25" style="368" customWidth="1"/>
    <col min="2052" max="2052" width="24.5" style="368" customWidth="1"/>
    <col min="2053" max="2304" width="9" style="368"/>
    <col min="2305" max="2305" width="37.25" style="368" customWidth="1"/>
    <col min="2306" max="2306" width="24.5" style="368" customWidth="1"/>
    <col min="2307" max="2307" width="37.25" style="368" customWidth="1"/>
    <col min="2308" max="2308" width="24.5" style="368" customWidth="1"/>
    <col min="2309" max="2560" width="9" style="368"/>
    <col min="2561" max="2561" width="37.25" style="368" customWidth="1"/>
    <col min="2562" max="2562" width="24.5" style="368" customWidth="1"/>
    <col min="2563" max="2563" width="37.25" style="368" customWidth="1"/>
    <col min="2564" max="2564" width="24.5" style="368" customWidth="1"/>
    <col min="2565" max="2816" width="9" style="368"/>
    <col min="2817" max="2817" width="37.25" style="368" customWidth="1"/>
    <col min="2818" max="2818" width="24.5" style="368" customWidth="1"/>
    <col min="2819" max="2819" width="37.25" style="368" customWidth="1"/>
    <col min="2820" max="2820" width="24.5" style="368" customWidth="1"/>
    <col min="2821" max="3072" width="9" style="368"/>
    <col min="3073" max="3073" width="37.25" style="368" customWidth="1"/>
    <col min="3074" max="3074" width="24.5" style="368" customWidth="1"/>
    <col min="3075" max="3075" width="37.25" style="368" customWidth="1"/>
    <col min="3076" max="3076" width="24.5" style="368" customWidth="1"/>
    <col min="3077" max="3328" width="9" style="368"/>
    <col min="3329" max="3329" width="37.25" style="368" customWidth="1"/>
    <col min="3330" max="3330" width="24.5" style="368" customWidth="1"/>
    <col min="3331" max="3331" width="37.25" style="368" customWidth="1"/>
    <col min="3332" max="3332" width="24.5" style="368" customWidth="1"/>
    <col min="3333" max="3584" width="9" style="368"/>
    <col min="3585" max="3585" width="37.25" style="368" customWidth="1"/>
    <col min="3586" max="3586" width="24.5" style="368" customWidth="1"/>
    <col min="3587" max="3587" width="37.25" style="368" customWidth="1"/>
    <col min="3588" max="3588" width="24.5" style="368" customWidth="1"/>
    <col min="3589" max="3840" width="9" style="368"/>
    <col min="3841" max="3841" width="37.25" style="368" customWidth="1"/>
    <col min="3842" max="3842" width="24.5" style="368" customWidth="1"/>
    <col min="3843" max="3843" width="37.25" style="368" customWidth="1"/>
    <col min="3844" max="3844" width="24.5" style="368" customWidth="1"/>
    <col min="3845" max="4096" width="9" style="368"/>
    <col min="4097" max="4097" width="37.25" style="368" customWidth="1"/>
    <col min="4098" max="4098" width="24.5" style="368" customWidth="1"/>
    <col min="4099" max="4099" width="37.25" style="368" customWidth="1"/>
    <col min="4100" max="4100" width="24.5" style="368" customWidth="1"/>
    <col min="4101" max="4352" width="9" style="368"/>
    <col min="4353" max="4353" width="37.25" style="368" customWidth="1"/>
    <col min="4354" max="4354" width="24.5" style="368" customWidth="1"/>
    <col min="4355" max="4355" width="37.25" style="368" customWidth="1"/>
    <col min="4356" max="4356" width="24.5" style="368" customWidth="1"/>
    <col min="4357" max="4608" width="9" style="368"/>
    <col min="4609" max="4609" width="37.25" style="368" customWidth="1"/>
    <col min="4610" max="4610" width="24.5" style="368" customWidth="1"/>
    <col min="4611" max="4611" width="37.25" style="368" customWidth="1"/>
    <col min="4612" max="4612" width="24.5" style="368" customWidth="1"/>
    <col min="4613" max="4864" width="9" style="368"/>
    <col min="4865" max="4865" width="37.25" style="368" customWidth="1"/>
    <col min="4866" max="4866" width="24.5" style="368" customWidth="1"/>
    <col min="4867" max="4867" width="37.25" style="368" customWidth="1"/>
    <col min="4868" max="4868" width="24.5" style="368" customWidth="1"/>
    <col min="4869" max="5120" width="9" style="368"/>
    <col min="5121" max="5121" width="37.25" style="368" customWidth="1"/>
    <col min="5122" max="5122" width="24.5" style="368" customWidth="1"/>
    <col min="5123" max="5123" width="37.25" style="368" customWidth="1"/>
    <col min="5124" max="5124" width="24.5" style="368" customWidth="1"/>
    <col min="5125" max="5376" width="9" style="368"/>
    <col min="5377" max="5377" width="37.25" style="368" customWidth="1"/>
    <col min="5378" max="5378" width="24.5" style="368" customWidth="1"/>
    <col min="5379" max="5379" width="37.25" style="368" customWidth="1"/>
    <col min="5380" max="5380" width="24.5" style="368" customWidth="1"/>
    <col min="5381" max="5632" width="9" style="368"/>
    <col min="5633" max="5633" width="37.25" style="368" customWidth="1"/>
    <col min="5634" max="5634" width="24.5" style="368" customWidth="1"/>
    <col min="5635" max="5635" width="37.25" style="368" customWidth="1"/>
    <col min="5636" max="5636" width="24.5" style="368" customWidth="1"/>
    <col min="5637" max="5888" width="9" style="368"/>
    <col min="5889" max="5889" width="37.25" style="368" customWidth="1"/>
    <col min="5890" max="5890" width="24.5" style="368" customWidth="1"/>
    <col min="5891" max="5891" width="37.25" style="368" customWidth="1"/>
    <col min="5892" max="5892" width="24.5" style="368" customWidth="1"/>
    <col min="5893" max="6144" width="9" style="368"/>
    <col min="6145" max="6145" width="37.25" style="368" customWidth="1"/>
    <col min="6146" max="6146" width="24.5" style="368" customWidth="1"/>
    <col min="6147" max="6147" width="37.25" style="368" customWidth="1"/>
    <col min="6148" max="6148" width="24.5" style="368" customWidth="1"/>
    <col min="6149" max="6400" width="9" style="368"/>
    <col min="6401" max="6401" width="37.25" style="368" customWidth="1"/>
    <col min="6402" max="6402" width="24.5" style="368" customWidth="1"/>
    <col min="6403" max="6403" width="37.25" style="368" customWidth="1"/>
    <col min="6404" max="6404" width="24.5" style="368" customWidth="1"/>
    <col min="6405" max="6656" width="9" style="368"/>
    <col min="6657" max="6657" width="37.25" style="368" customWidth="1"/>
    <col min="6658" max="6658" width="24.5" style="368" customWidth="1"/>
    <col min="6659" max="6659" width="37.25" style="368" customWidth="1"/>
    <col min="6660" max="6660" width="24.5" style="368" customWidth="1"/>
    <col min="6661" max="6912" width="9" style="368"/>
    <col min="6913" max="6913" width="37.25" style="368" customWidth="1"/>
    <col min="6914" max="6914" width="24.5" style="368" customWidth="1"/>
    <col min="6915" max="6915" width="37.25" style="368" customWidth="1"/>
    <col min="6916" max="6916" width="24.5" style="368" customWidth="1"/>
    <col min="6917" max="7168" width="9" style="368"/>
    <col min="7169" max="7169" width="37.25" style="368" customWidth="1"/>
    <col min="7170" max="7170" width="24.5" style="368" customWidth="1"/>
    <col min="7171" max="7171" width="37.25" style="368" customWidth="1"/>
    <col min="7172" max="7172" width="24.5" style="368" customWidth="1"/>
    <col min="7173" max="7424" width="9" style="368"/>
    <col min="7425" max="7425" width="37.25" style="368" customWidth="1"/>
    <col min="7426" max="7426" width="24.5" style="368" customWidth="1"/>
    <col min="7427" max="7427" width="37.25" style="368" customWidth="1"/>
    <col min="7428" max="7428" width="24.5" style="368" customWidth="1"/>
    <col min="7429" max="7680" width="9" style="368"/>
    <col min="7681" max="7681" width="37.25" style="368" customWidth="1"/>
    <col min="7682" max="7682" width="24.5" style="368" customWidth="1"/>
    <col min="7683" max="7683" width="37.25" style="368" customWidth="1"/>
    <col min="7684" max="7684" width="24.5" style="368" customWidth="1"/>
    <col min="7685" max="7936" width="9" style="368"/>
    <col min="7937" max="7937" width="37.25" style="368" customWidth="1"/>
    <col min="7938" max="7938" width="24.5" style="368" customWidth="1"/>
    <col min="7939" max="7939" width="37.25" style="368" customWidth="1"/>
    <col min="7940" max="7940" width="24.5" style="368" customWidth="1"/>
    <col min="7941" max="8192" width="9" style="368"/>
    <col min="8193" max="8193" width="37.25" style="368" customWidth="1"/>
    <col min="8194" max="8194" width="24.5" style="368" customWidth="1"/>
    <col min="8195" max="8195" width="37.25" style="368" customWidth="1"/>
    <col min="8196" max="8196" width="24.5" style="368" customWidth="1"/>
    <col min="8197" max="8448" width="9" style="368"/>
    <col min="8449" max="8449" width="37.25" style="368" customWidth="1"/>
    <col min="8450" max="8450" width="24.5" style="368" customWidth="1"/>
    <col min="8451" max="8451" width="37.25" style="368" customWidth="1"/>
    <col min="8452" max="8452" width="24.5" style="368" customWidth="1"/>
    <col min="8453" max="8704" width="9" style="368"/>
    <col min="8705" max="8705" width="37.25" style="368" customWidth="1"/>
    <col min="8706" max="8706" width="24.5" style="368" customWidth="1"/>
    <col min="8707" max="8707" width="37.25" style="368" customWidth="1"/>
    <col min="8708" max="8708" width="24.5" style="368" customWidth="1"/>
    <col min="8709" max="8960" width="9" style="368"/>
    <col min="8961" max="8961" width="37.25" style="368" customWidth="1"/>
    <col min="8962" max="8962" width="24.5" style="368" customWidth="1"/>
    <col min="8963" max="8963" width="37.25" style="368" customWidth="1"/>
    <col min="8964" max="8964" width="24.5" style="368" customWidth="1"/>
    <col min="8965" max="9216" width="9" style="368"/>
    <col min="9217" max="9217" width="37.25" style="368" customWidth="1"/>
    <col min="9218" max="9218" width="24.5" style="368" customWidth="1"/>
    <col min="9219" max="9219" width="37.25" style="368" customWidth="1"/>
    <col min="9220" max="9220" width="24.5" style="368" customWidth="1"/>
    <col min="9221" max="9472" width="9" style="368"/>
    <col min="9473" max="9473" width="37.25" style="368" customWidth="1"/>
    <col min="9474" max="9474" width="24.5" style="368" customWidth="1"/>
    <col min="9475" max="9475" width="37.25" style="368" customWidth="1"/>
    <col min="9476" max="9476" width="24.5" style="368" customWidth="1"/>
    <col min="9477" max="9728" width="9" style="368"/>
    <col min="9729" max="9729" width="37.25" style="368" customWidth="1"/>
    <col min="9730" max="9730" width="24.5" style="368" customWidth="1"/>
    <col min="9731" max="9731" width="37.25" style="368" customWidth="1"/>
    <col min="9732" max="9732" width="24.5" style="368" customWidth="1"/>
    <col min="9733" max="9984" width="9" style="368"/>
    <col min="9985" max="9985" width="37.25" style="368" customWidth="1"/>
    <col min="9986" max="9986" width="24.5" style="368" customWidth="1"/>
    <col min="9987" max="9987" width="37.25" style="368" customWidth="1"/>
    <col min="9988" max="9988" width="24.5" style="368" customWidth="1"/>
    <col min="9989" max="10240" width="9" style="368"/>
    <col min="10241" max="10241" width="37.25" style="368" customWidth="1"/>
    <col min="10242" max="10242" width="24.5" style="368" customWidth="1"/>
    <col min="10243" max="10243" width="37.25" style="368" customWidth="1"/>
    <col min="10244" max="10244" width="24.5" style="368" customWidth="1"/>
    <col min="10245" max="10496" width="9" style="368"/>
    <col min="10497" max="10497" width="37.25" style="368" customWidth="1"/>
    <col min="10498" max="10498" width="24.5" style="368" customWidth="1"/>
    <col min="10499" max="10499" width="37.25" style="368" customWidth="1"/>
    <col min="10500" max="10500" width="24.5" style="368" customWidth="1"/>
    <col min="10501" max="10752" width="9" style="368"/>
    <col min="10753" max="10753" width="37.25" style="368" customWidth="1"/>
    <col min="10754" max="10754" width="24.5" style="368" customWidth="1"/>
    <col min="10755" max="10755" width="37.25" style="368" customWidth="1"/>
    <col min="10756" max="10756" width="24.5" style="368" customWidth="1"/>
    <col min="10757" max="11008" width="9" style="368"/>
    <col min="11009" max="11009" width="37.25" style="368" customWidth="1"/>
    <col min="11010" max="11010" width="24.5" style="368" customWidth="1"/>
    <col min="11011" max="11011" width="37.25" style="368" customWidth="1"/>
    <col min="11012" max="11012" width="24.5" style="368" customWidth="1"/>
    <col min="11013" max="11264" width="9" style="368"/>
    <col min="11265" max="11265" width="37.25" style="368" customWidth="1"/>
    <col min="11266" max="11266" width="24.5" style="368" customWidth="1"/>
    <col min="11267" max="11267" width="37.25" style="368" customWidth="1"/>
    <col min="11268" max="11268" width="24.5" style="368" customWidth="1"/>
    <col min="11269" max="11520" width="9" style="368"/>
    <col min="11521" max="11521" width="37.25" style="368" customWidth="1"/>
    <col min="11522" max="11522" width="24.5" style="368" customWidth="1"/>
    <col min="11523" max="11523" width="37.25" style="368" customWidth="1"/>
    <col min="11524" max="11524" width="24.5" style="368" customWidth="1"/>
    <col min="11525" max="11776" width="9" style="368"/>
    <col min="11777" max="11777" width="37.25" style="368" customWidth="1"/>
    <col min="11778" max="11778" width="24.5" style="368" customWidth="1"/>
    <col min="11779" max="11779" width="37.25" style="368" customWidth="1"/>
    <col min="11780" max="11780" width="24.5" style="368" customWidth="1"/>
    <col min="11781" max="12032" width="9" style="368"/>
    <col min="12033" max="12033" width="37.25" style="368" customWidth="1"/>
    <col min="12034" max="12034" width="24.5" style="368" customWidth="1"/>
    <col min="12035" max="12035" width="37.25" style="368" customWidth="1"/>
    <col min="12036" max="12036" width="24.5" style="368" customWidth="1"/>
    <col min="12037" max="12288" width="9" style="368"/>
    <col min="12289" max="12289" width="37.25" style="368" customWidth="1"/>
    <col min="12290" max="12290" width="24.5" style="368" customWidth="1"/>
    <col min="12291" max="12291" width="37.25" style="368" customWidth="1"/>
    <col min="12292" max="12292" width="24.5" style="368" customWidth="1"/>
    <col min="12293" max="12544" width="9" style="368"/>
    <col min="12545" max="12545" width="37.25" style="368" customWidth="1"/>
    <col min="12546" max="12546" width="24.5" style="368" customWidth="1"/>
    <col min="12547" max="12547" width="37.25" style="368" customWidth="1"/>
    <col min="12548" max="12548" width="24.5" style="368" customWidth="1"/>
    <col min="12549" max="12800" width="9" style="368"/>
    <col min="12801" max="12801" width="37.25" style="368" customWidth="1"/>
    <col min="12802" max="12802" width="24.5" style="368" customWidth="1"/>
    <col min="12803" max="12803" width="37.25" style="368" customWidth="1"/>
    <col min="12804" max="12804" width="24.5" style="368" customWidth="1"/>
    <col min="12805" max="13056" width="9" style="368"/>
    <col min="13057" max="13057" width="37.25" style="368" customWidth="1"/>
    <col min="13058" max="13058" width="24.5" style="368" customWidth="1"/>
    <col min="13059" max="13059" width="37.25" style="368" customWidth="1"/>
    <col min="13060" max="13060" width="24.5" style="368" customWidth="1"/>
    <col min="13061" max="13312" width="9" style="368"/>
    <col min="13313" max="13313" width="37.25" style="368" customWidth="1"/>
    <col min="13314" max="13314" width="24.5" style="368" customWidth="1"/>
    <col min="13315" max="13315" width="37.25" style="368" customWidth="1"/>
    <col min="13316" max="13316" width="24.5" style="368" customWidth="1"/>
    <col min="13317" max="13568" width="9" style="368"/>
    <col min="13569" max="13569" width="37.25" style="368" customWidth="1"/>
    <col min="13570" max="13570" width="24.5" style="368" customWidth="1"/>
    <col min="13571" max="13571" width="37.25" style="368" customWidth="1"/>
    <col min="13572" max="13572" width="24.5" style="368" customWidth="1"/>
    <col min="13573" max="13824" width="9" style="368"/>
    <col min="13825" max="13825" width="37.25" style="368" customWidth="1"/>
    <col min="13826" max="13826" width="24.5" style="368" customWidth="1"/>
    <col min="13827" max="13827" width="37.25" style="368" customWidth="1"/>
    <col min="13828" max="13828" width="24.5" style="368" customWidth="1"/>
    <col min="13829" max="14080" width="9" style="368"/>
    <col min="14081" max="14081" width="37.25" style="368" customWidth="1"/>
    <col min="14082" max="14082" width="24.5" style="368" customWidth="1"/>
    <col min="14083" max="14083" width="37.25" style="368" customWidth="1"/>
    <col min="14084" max="14084" width="24.5" style="368" customWidth="1"/>
    <col min="14085" max="14336" width="9" style="368"/>
    <col min="14337" max="14337" width="37.25" style="368" customWidth="1"/>
    <col min="14338" max="14338" width="24.5" style="368" customWidth="1"/>
    <col min="14339" max="14339" width="37.25" style="368" customWidth="1"/>
    <col min="14340" max="14340" width="24.5" style="368" customWidth="1"/>
    <col min="14341" max="14592" width="9" style="368"/>
    <col min="14593" max="14593" width="37.25" style="368" customWidth="1"/>
    <col min="14594" max="14594" width="24.5" style="368" customWidth="1"/>
    <col min="14595" max="14595" width="37.25" style="368" customWidth="1"/>
    <col min="14596" max="14596" width="24.5" style="368" customWidth="1"/>
    <col min="14597" max="14848" width="9" style="368"/>
    <col min="14849" max="14849" width="37.25" style="368" customWidth="1"/>
    <col min="14850" max="14850" width="24.5" style="368" customWidth="1"/>
    <col min="14851" max="14851" width="37.25" style="368" customWidth="1"/>
    <col min="14852" max="14852" width="24.5" style="368" customWidth="1"/>
    <col min="14853" max="15104" width="9" style="368"/>
    <col min="15105" max="15105" width="37.25" style="368" customWidth="1"/>
    <col min="15106" max="15106" width="24.5" style="368" customWidth="1"/>
    <col min="15107" max="15107" width="37.25" style="368" customWidth="1"/>
    <col min="15108" max="15108" width="24.5" style="368" customWidth="1"/>
    <col min="15109" max="15360" width="9" style="368"/>
    <col min="15361" max="15361" width="37.25" style="368" customWidth="1"/>
    <col min="15362" max="15362" width="24.5" style="368" customWidth="1"/>
    <col min="15363" max="15363" width="37.25" style="368" customWidth="1"/>
    <col min="15364" max="15364" width="24.5" style="368" customWidth="1"/>
    <col min="15365" max="15616" width="9" style="368"/>
    <col min="15617" max="15617" width="37.25" style="368" customWidth="1"/>
    <col min="15618" max="15618" width="24.5" style="368" customWidth="1"/>
    <col min="15619" max="15619" width="37.25" style="368" customWidth="1"/>
    <col min="15620" max="15620" width="24.5" style="368" customWidth="1"/>
    <col min="15621" max="15872" width="9" style="368"/>
    <col min="15873" max="15873" width="37.25" style="368" customWidth="1"/>
    <col min="15874" max="15874" width="24.5" style="368" customWidth="1"/>
    <col min="15875" max="15875" width="37.25" style="368" customWidth="1"/>
    <col min="15876" max="15876" width="24.5" style="368" customWidth="1"/>
    <col min="15877" max="16128" width="9" style="368"/>
    <col min="16129" max="16129" width="37.25" style="368" customWidth="1"/>
    <col min="16130" max="16130" width="24.5" style="368" customWidth="1"/>
    <col min="16131" max="16131" width="37.25" style="368" customWidth="1"/>
    <col min="16132" max="16132" width="24.5" style="368" customWidth="1"/>
    <col min="16133" max="16384" width="9" style="368"/>
  </cols>
  <sheetData>
    <row r="1" spans="1:4" ht="36.75" customHeight="1">
      <c r="A1" s="722" t="s">
        <v>1622</v>
      </c>
      <c r="B1" s="722"/>
      <c r="C1" s="722"/>
      <c r="D1" s="722"/>
    </row>
    <row r="2" spans="1:4" ht="18.75" customHeight="1">
      <c r="A2" s="379"/>
      <c r="B2" s="379"/>
      <c r="C2" s="369"/>
      <c r="D2" s="394" t="s">
        <v>1623</v>
      </c>
    </row>
    <row r="3" spans="1:4" ht="18.75" customHeight="1" thickBot="1">
      <c r="A3" s="343" t="s">
        <v>1526</v>
      </c>
      <c r="B3" s="369"/>
      <c r="C3" s="369"/>
      <c r="D3" s="371" t="s">
        <v>1569</v>
      </c>
    </row>
    <row r="4" spans="1:4" ht="27" customHeight="1" thickBot="1">
      <c r="A4" s="239" t="s">
        <v>1528</v>
      </c>
      <c r="B4" s="395" t="s">
        <v>1529</v>
      </c>
      <c r="C4" s="239" t="s">
        <v>1528</v>
      </c>
      <c r="D4" s="396" t="s">
        <v>1529</v>
      </c>
    </row>
    <row r="5" spans="1:4" ht="24" customHeight="1">
      <c r="A5" s="374" t="s">
        <v>1624</v>
      </c>
      <c r="B5" s="240">
        <v>1053957450.79</v>
      </c>
      <c r="C5" s="374" t="s">
        <v>1607</v>
      </c>
      <c r="D5" s="240">
        <f>SUM(D6:D7)</f>
        <v>1365915127.1099999</v>
      </c>
    </row>
    <row r="6" spans="1:4" ht="24" customHeight="1">
      <c r="A6" s="244" t="s">
        <v>1625</v>
      </c>
      <c r="B6" s="221">
        <v>2165000</v>
      </c>
      <c r="C6" s="244" t="s">
        <v>1626</v>
      </c>
      <c r="D6" s="221">
        <v>720685333.09000003</v>
      </c>
    </row>
    <row r="7" spans="1:4" ht="24" customHeight="1">
      <c r="A7" s="244" t="s">
        <v>1532</v>
      </c>
      <c r="B7" s="221">
        <v>39684186.729999997</v>
      </c>
      <c r="C7" s="381" t="s">
        <v>1627</v>
      </c>
      <c r="D7" s="221">
        <v>645229794.01999986</v>
      </c>
    </row>
    <row r="8" spans="1:4" ht="24" customHeight="1">
      <c r="A8" s="244" t="s">
        <v>1628</v>
      </c>
      <c r="B8" s="221">
        <f>B9</f>
        <v>583413254.52999997</v>
      </c>
      <c r="C8" s="244" t="s">
        <v>1629</v>
      </c>
      <c r="D8" s="221">
        <v>0</v>
      </c>
    </row>
    <row r="9" spans="1:4" ht="24" customHeight="1">
      <c r="A9" s="244" t="s">
        <v>1630</v>
      </c>
      <c r="B9" s="221">
        <v>583413254.52999997</v>
      </c>
      <c r="C9" s="332" t="s">
        <v>1542</v>
      </c>
      <c r="D9" s="245" t="s">
        <v>1542</v>
      </c>
    </row>
    <row r="10" spans="1:4" ht="24" customHeight="1">
      <c r="A10" s="244" t="s">
        <v>1536</v>
      </c>
      <c r="B10" s="221">
        <v>681.04</v>
      </c>
      <c r="C10" s="381" t="s">
        <v>1631</v>
      </c>
      <c r="D10" s="258"/>
    </row>
    <row r="11" spans="1:4" ht="24" customHeight="1">
      <c r="A11" s="244" t="s">
        <v>1543</v>
      </c>
      <c r="B11" s="241">
        <v>0</v>
      </c>
      <c r="C11" s="244" t="s">
        <v>1632</v>
      </c>
      <c r="D11" s="241">
        <v>0</v>
      </c>
    </row>
    <row r="12" spans="1:4" ht="24" customHeight="1">
      <c r="A12" s="242" t="s">
        <v>1545</v>
      </c>
      <c r="B12" s="243">
        <f>B5+B7+B8+B10+B11</f>
        <v>1677055573.0899999</v>
      </c>
      <c r="C12" s="242" t="s">
        <v>1633</v>
      </c>
      <c r="D12" s="243">
        <f>D5+D8+D10+D11</f>
        <v>1365915127.1099999</v>
      </c>
    </row>
    <row r="13" spans="1:4" ht="24" customHeight="1">
      <c r="A13" s="242" t="s">
        <v>1615</v>
      </c>
      <c r="B13" s="243">
        <v>0</v>
      </c>
      <c r="C13" s="242" t="s">
        <v>1634</v>
      </c>
      <c r="D13" s="243">
        <v>0</v>
      </c>
    </row>
    <row r="14" spans="1:4" ht="24" customHeight="1">
      <c r="A14" s="242" t="s">
        <v>1549</v>
      </c>
      <c r="B14" s="243">
        <v>0</v>
      </c>
      <c r="C14" s="242" t="s">
        <v>1635</v>
      </c>
      <c r="D14" s="243">
        <v>0</v>
      </c>
    </row>
    <row r="15" spans="1:4" ht="24" customHeight="1">
      <c r="A15" s="244" t="s">
        <v>1551</v>
      </c>
      <c r="B15" s="397">
        <f>SUM(B12:B14)</f>
        <v>1677055573.0899999</v>
      </c>
      <c r="C15" s="244" t="s">
        <v>1636</v>
      </c>
      <c r="D15" s="397">
        <f>SUM(D12:D14)</f>
        <v>1365915127.1099999</v>
      </c>
    </row>
    <row r="16" spans="1:4" ht="24" customHeight="1">
      <c r="A16" s="332" t="s">
        <v>1542</v>
      </c>
      <c r="B16" s="245" t="s">
        <v>1542</v>
      </c>
      <c r="C16" s="244" t="s">
        <v>1637</v>
      </c>
      <c r="D16" s="221">
        <f>B15-D15</f>
        <v>311140445.98000002</v>
      </c>
    </row>
    <row r="17" spans="1:4" ht="24" customHeight="1" thickBot="1">
      <c r="A17" s="247" t="s">
        <v>1554</v>
      </c>
      <c r="B17" s="246">
        <v>1106460828.02</v>
      </c>
      <c r="C17" s="247" t="s">
        <v>1638</v>
      </c>
      <c r="D17" s="246">
        <f>B17+D16</f>
        <v>1417601274</v>
      </c>
    </row>
    <row r="18" spans="1:4" ht="27" customHeight="1" thickBot="1">
      <c r="A18" s="239" t="s">
        <v>1639</v>
      </c>
      <c r="B18" s="385">
        <f>B15+B17</f>
        <v>2783516401.1099997</v>
      </c>
      <c r="C18" s="248" t="s">
        <v>1639</v>
      </c>
      <c r="D18" s="386">
        <f>D15+D17</f>
        <v>2783516401.1099997</v>
      </c>
    </row>
  </sheetData>
  <mergeCells count="1">
    <mergeCell ref="A1:D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orientation="landscape" errors="blank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A3" sqref="A1:XFD1048576"/>
    </sheetView>
  </sheetViews>
  <sheetFormatPr defaultRowHeight="14.25" customHeight="1"/>
  <cols>
    <col min="1" max="1" width="37.5" style="368" customWidth="1"/>
    <col min="2" max="2" width="24.5" style="368" customWidth="1"/>
    <col min="3" max="3" width="37.5" style="368" customWidth="1"/>
    <col min="4" max="4" width="24.5" style="368" customWidth="1"/>
    <col min="5" max="256" width="9" style="368"/>
    <col min="257" max="257" width="37.5" style="368" customWidth="1"/>
    <col min="258" max="258" width="24.5" style="368" customWidth="1"/>
    <col min="259" max="259" width="37.5" style="368" customWidth="1"/>
    <col min="260" max="260" width="24.5" style="368" customWidth="1"/>
    <col min="261" max="512" width="9" style="368"/>
    <col min="513" max="513" width="37.5" style="368" customWidth="1"/>
    <col min="514" max="514" width="24.5" style="368" customWidth="1"/>
    <col min="515" max="515" width="37.5" style="368" customWidth="1"/>
    <col min="516" max="516" width="24.5" style="368" customWidth="1"/>
    <col min="517" max="768" width="9" style="368"/>
    <col min="769" max="769" width="37.5" style="368" customWidth="1"/>
    <col min="770" max="770" width="24.5" style="368" customWidth="1"/>
    <col min="771" max="771" width="37.5" style="368" customWidth="1"/>
    <col min="772" max="772" width="24.5" style="368" customWidth="1"/>
    <col min="773" max="1024" width="9" style="368"/>
    <col min="1025" max="1025" width="37.5" style="368" customWidth="1"/>
    <col min="1026" max="1026" width="24.5" style="368" customWidth="1"/>
    <col min="1027" max="1027" width="37.5" style="368" customWidth="1"/>
    <col min="1028" max="1028" width="24.5" style="368" customWidth="1"/>
    <col min="1029" max="1280" width="9" style="368"/>
    <col min="1281" max="1281" width="37.5" style="368" customWidth="1"/>
    <col min="1282" max="1282" width="24.5" style="368" customWidth="1"/>
    <col min="1283" max="1283" width="37.5" style="368" customWidth="1"/>
    <col min="1284" max="1284" width="24.5" style="368" customWidth="1"/>
    <col min="1285" max="1536" width="9" style="368"/>
    <col min="1537" max="1537" width="37.5" style="368" customWidth="1"/>
    <col min="1538" max="1538" width="24.5" style="368" customWidth="1"/>
    <col min="1539" max="1539" width="37.5" style="368" customWidth="1"/>
    <col min="1540" max="1540" width="24.5" style="368" customWidth="1"/>
    <col min="1541" max="1792" width="9" style="368"/>
    <col min="1793" max="1793" width="37.5" style="368" customWidth="1"/>
    <col min="1794" max="1794" width="24.5" style="368" customWidth="1"/>
    <col min="1795" max="1795" width="37.5" style="368" customWidth="1"/>
    <col min="1796" max="1796" width="24.5" style="368" customWidth="1"/>
    <col min="1797" max="2048" width="9" style="368"/>
    <col min="2049" max="2049" width="37.5" style="368" customWidth="1"/>
    <col min="2050" max="2050" width="24.5" style="368" customWidth="1"/>
    <col min="2051" max="2051" width="37.5" style="368" customWidth="1"/>
    <col min="2052" max="2052" width="24.5" style="368" customWidth="1"/>
    <col min="2053" max="2304" width="9" style="368"/>
    <col min="2305" max="2305" width="37.5" style="368" customWidth="1"/>
    <col min="2306" max="2306" width="24.5" style="368" customWidth="1"/>
    <col min="2307" max="2307" width="37.5" style="368" customWidth="1"/>
    <col min="2308" max="2308" width="24.5" style="368" customWidth="1"/>
    <col min="2309" max="2560" width="9" style="368"/>
    <col min="2561" max="2561" width="37.5" style="368" customWidth="1"/>
    <col min="2562" max="2562" width="24.5" style="368" customWidth="1"/>
    <col min="2563" max="2563" width="37.5" style="368" customWidth="1"/>
    <col min="2564" max="2564" width="24.5" style="368" customWidth="1"/>
    <col min="2565" max="2816" width="9" style="368"/>
    <col min="2817" max="2817" width="37.5" style="368" customWidth="1"/>
    <col min="2818" max="2818" width="24.5" style="368" customWidth="1"/>
    <col min="2819" max="2819" width="37.5" style="368" customWidth="1"/>
    <col min="2820" max="2820" width="24.5" style="368" customWidth="1"/>
    <col min="2821" max="3072" width="9" style="368"/>
    <col min="3073" max="3073" width="37.5" style="368" customWidth="1"/>
    <col min="3074" max="3074" width="24.5" style="368" customWidth="1"/>
    <col min="3075" max="3075" width="37.5" style="368" customWidth="1"/>
    <col min="3076" max="3076" width="24.5" style="368" customWidth="1"/>
    <col min="3077" max="3328" width="9" style="368"/>
    <col min="3329" max="3329" width="37.5" style="368" customWidth="1"/>
    <col min="3330" max="3330" width="24.5" style="368" customWidth="1"/>
    <col min="3331" max="3331" width="37.5" style="368" customWidth="1"/>
    <col min="3332" max="3332" width="24.5" style="368" customWidth="1"/>
    <col min="3333" max="3584" width="9" style="368"/>
    <col min="3585" max="3585" width="37.5" style="368" customWidth="1"/>
    <col min="3586" max="3586" width="24.5" style="368" customWidth="1"/>
    <col min="3587" max="3587" width="37.5" style="368" customWidth="1"/>
    <col min="3588" max="3588" width="24.5" style="368" customWidth="1"/>
    <col min="3589" max="3840" width="9" style="368"/>
    <col min="3841" max="3841" width="37.5" style="368" customWidth="1"/>
    <col min="3842" max="3842" width="24.5" style="368" customWidth="1"/>
    <col min="3843" max="3843" width="37.5" style="368" customWidth="1"/>
    <col min="3844" max="3844" width="24.5" style="368" customWidth="1"/>
    <col min="3845" max="4096" width="9" style="368"/>
    <col min="4097" max="4097" width="37.5" style="368" customWidth="1"/>
    <col min="4098" max="4098" width="24.5" style="368" customWidth="1"/>
    <col min="4099" max="4099" width="37.5" style="368" customWidth="1"/>
    <col min="4100" max="4100" width="24.5" style="368" customWidth="1"/>
    <col min="4101" max="4352" width="9" style="368"/>
    <col min="4353" max="4353" width="37.5" style="368" customWidth="1"/>
    <col min="4354" max="4354" width="24.5" style="368" customWidth="1"/>
    <col min="4355" max="4355" width="37.5" style="368" customWidth="1"/>
    <col min="4356" max="4356" width="24.5" style="368" customWidth="1"/>
    <col min="4357" max="4608" width="9" style="368"/>
    <col min="4609" max="4609" width="37.5" style="368" customWidth="1"/>
    <col min="4610" max="4610" width="24.5" style="368" customWidth="1"/>
    <col min="4611" max="4611" width="37.5" style="368" customWidth="1"/>
    <col min="4612" max="4612" width="24.5" style="368" customWidth="1"/>
    <col min="4613" max="4864" width="9" style="368"/>
    <col min="4865" max="4865" width="37.5" style="368" customWidth="1"/>
    <col min="4866" max="4866" width="24.5" style="368" customWidth="1"/>
    <col min="4867" max="4867" width="37.5" style="368" customWidth="1"/>
    <col min="4868" max="4868" width="24.5" style="368" customWidth="1"/>
    <col min="4869" max="5120" width="9" style="368"/>
    <col min="5121" max="5121" width="37.5" style="368" customWidth="1"/>
    <col min="5122" max="5122" width="24.5" style="368" customWidth="1"/>
    <col min="5123" max="5123" width="37.5" style="368" customWidth="1"/>
    <col min="5124" max="5124" width="24.5" style="368" customWidth="1"/>
    <col min="5125" max="5376" width="9" style="368"/>
    <col min="5377" max="5377" width="37.5" style="368" customWidth="1"/>
    <col min="5378" max="5378" width="24.5" style="368" customWidth="1"/>
    <col min="5379" max="5379" width="37.5" style="368" customWidth="1"/>
    <col min="5380" max="5380" width="24.5" style="368" customWidth="1"/>
    <col min="5381" max="5632" width="9" style="368"/>
    <col min="5633" max="5633" width="37.5" style="368" customWidth="1"/>
    <col min="5634" max="5634" width="24.5" style="368" customWidth="1"/>
    <col min="5635" max="5635" width="37.5" style="368" customWidth="1"/>
    <col min="5636" max="5636" width="24.5" style="368" customWidth="1"/>
    <col min="5637" max="5888" width="9" style="368"/>
    <col min="5889" max="5889" width="37.5" style="368" customWidth="1"/>
    <col min="5890" max="5890" width="24.5" style="368" customWidth="1"/>
    <col min="5891" max="5891" width="37.5" style="368" customWidth="1"/>
    <col min="5892" max="5892" width="24.5" style="368" customWidth="1"/>
    <col min="5893" max="6144" width="9" style="368"/>
    <col min="6145" max="6145" width="37.5" style="368" customWidth="1"/>
    <col min="6146" max="6146" width="24.5" style="368" customWidth="1"/>
    <col min="6147" max="6147" width="37.5" style="368" customWidth="1"/>
    <col min="6148" max="6148" width="24.5" style="368" customWidth="1"/>
    <col min="6149" max="6400" width="9" style="368"/>
    <col min="6401" max="6401" width="37.5" style="368" customWidth="1"/>
    <col min="6402" max="6402" width="24.5" style="368" customWidth="1"/>
    <col min="6403" max="6403" width="37.5" style="368" customWidth="1"/>
    <col min="6404" max="6404" width="24.5" style="368" customWidth="1"/>
    <col min="6405" max="6656" width="9" style="368"/>
    <col min="6657" max="6657" width="37.5" style="368" customWidth="1"/>
    <col min="6658" max="6658" width="24.5" style="368" customWidth="1"/>
    <col min="6659" max="6659" width="37.5" style="368" customWidth="1"/>
    <col min="6660" max="6660" width="24.5" style="368" customWidth="1"/>
    <col min="6661" max="6912" width="9" style="368"/>
    <col min="6913" max="6913" width="37.5" style="368" customWidth="1"/>
    <col min="6914" max="6914" width="24.5" style="368" customWidth="1"/>
    <col min="6915" max="6915" width="37.5" style="368" customWidth="1"/>
    <col min="6916" max="6916" width="24.5" style="368" customWidth="1"/>
    <col min="6917" max="7168" width="9" style="368"/>
    <col min="7169" max="7169" width="37.5" style="368" customWidth="1"/>
    <col min="7170" max="7170" width="24.5" style="368" customWidth="1"/>
    <col min="7171" max="7171" width="37.5" style="368" customWidth="1"/>
    <col min="7172" max="7172" width="24.5" style="368" customWidth="1"/>
    <col min="7173" max="7424" width="9" style="368"/>
    <col min="7425" max="7425" width="37.5" style="368" customWidth="1"/>
    <col min="7426" max="7426" width="24.5" style="368" customWidth="1"/>
    <col min="7427" max="7427" width="37.5" style="368" customWidth="1"/>
    <col min="7428" max="7428" width="24.5" style="368" customWidth="1"/>
    <col min="7429" max="7680" width="9" style="368"/>
    <col min="7681" max="7681" width="37.5" style="368" customWidth="1"/>
    <col min="7682" max="7682" width="24.5" style="368" customWidth="1"/>
    <col min="7683" max="7683" width="37.5" style="368" customWidth="1"/>
    <col min="7684" max="7684" width="24.5" style="368" customWidth="1"/>
    <col min="7685" max="7936" width="9" style="368"/>
    <col min="7937" max="7937" width="37.5" style="368" customWidth="1"/>
    <col min="7938" max="7938" width="24.5" style="368" customWidth="1"/>
    <col min="7939" max="7939" width="37.5" style="368" customWidth="1"/>
    <col min="7940" max="7940" width="24.5" style="368" customWidth="1"/>
    <col min="7941" max="8192" width="9" style="368"/>
    <col min="8193" max="8193" width="37.5" style="368" customWidth="1"/>
    <col min="8194" max="8194" width="24.5" style="368" customWidth="1"/>
    <col min="8195" max="8195" width="37.5" style="368" customWidth="1"/>
    <col min="8196" max="8196" width="24.5" style="368" customWidth="1"/>
    <col min="8197" max="8448" width="9" style="368"/>
    <col min="8449" max="8449" width="37.5" style="368" customWidth="1"/>
    <col min="8450" max="8450" width="24.5" style="368" customWidth="1"/>
    <col min="8451" max="8451" width="37.5" style="368" customWidth="1"/>
    <col min="8452" max="8452" width="24.5" style="368" customWidth="1"/>
    <col min="8453" max="8704" width="9" style="368"/>
    <col min="8705" max="8705" width="37.5" style="368" customWidth="1"/>
    <col min="8706" max="8706" width="24.5" style="368" customWidth="1"/>
    <col min="8707" max="8707" width="37.5" style="368" customWidth="1"/>
    <col min="8708" max="8708" width="24.5" style="368" customWidth="1"/>
    <col min="8709" max="8960" width="9" style="368"/>
    <col min="8961" max="8961" width="37.5" style="368" customWidth="1"/>
    <col min="8962" max="8962" width="24.5" style="368" customWidth="1"/>
    <col min="8963" max="8963" width="37.5" style="368" customWidth="1"/>
    <col min="8964" max="8964" width="24.5" style="368" customWidth="1"/>
    <col min="8965" max="9216" width="9" style="368"/>
    <col min="9217" max="9217" width="37.5" style="368" customWidth="1"/>
    <col min="9218" max="9218" width="24.5" style="368" customWidth="1"/>
    <col min="9219" max="9219" width="37.5" style="368" customWidth="1"/>
    <col min="9220" max="9220" width="24.5" style="368" customWidth="1"/>
    <col min="9221" max="9472" width="9" style="368"/>
    <col min="9473" max="9473" width="37.5" style="368" customWidth="1"/>
    <col min="9474" max="9474" width="24.5" style="368" customWidth="1"/>
    <col min="9475" max="9475" width="37.5" style="368" customWidth="1"/>
    <col min="9476" max="9476" width="24.5" style="368" customWidth="1"/>
    <col min="9477" max="9728" width="9" style="368"/>
    <col min="9729" max="9729" width="37.5" style="368" customWidth="1"/>
    <col min="9730" max="9730" width="24.5" style="368" customWidth="1"/>
    <col min="9731" max="9731" width="37.5" style="368" customWidth="1"/>
    <col min="9732" max="9732" width="24.5" style="368" customWidth="1"/>
    <col min="9733" max="9984" width="9" style="368"/>
    <col min="9985" max="9985" width="37.5" style="368" customWidth="1"/>
    <col min="9986" max="9986" width="24.5" style="368" customWidth="1"/>
    <col min="9987" max="9987" width="37.5" style="368" customWidth="1"/>
    <col min="9988" max="9988" width="24.5" style="368" customWidth="1"/>
    <col min="9989" max="10240" width="9" style="368"/>
    <col min="10241" max="10241" width="37.5" style="368" customWidth="1"/>
    <col min="10242" max="10242" width="24.5" style="368" customWidth="1"/>
    <col min="10243" max="10243" width="37.5" style="368" customWidth="1"/>
    <col min="10244" max="10244" width="24.5" style="368" customWidth="1"/>
    <col min="10245" max="10496" width="9" style="368"/>
    <col min="10497" max="10497" width="37.5" style="368" customWidth="1"/>
    <col min="10498" max="10498" width="24.5" style="368" customWidth="1"/>
    <col min="10499" max="10499" width="37.5" style="368" customWidth="1"/>
    <col min="10500" max="10500" width="24.5" style="368" customWidth="1"/>
    <col min="10501" max="10752" width="9" style="368"/>
    <col min="10753" max="10753" width="37.5" style="368" customWidth="1"/>
    <col min="10754" max="10754" width="24.5" style="368" customWidth="1"/>
    <col min="10755" max="10755" width="37.5" style="368" customWidth="1"/>
    <col min="10756" max="10756" width="24.5" style="368" customWidth="1"/>
    <col min="10757" max="11008" width="9" style="368"/>
    <col min="11009" max="11009" width="37.5" style="368" customWidth="1"/>
    <col min="11010" max="11010" width="24.5" style="368" customWidth="1"/>
    <col min="11011" max="11011" width="37.5" style="368" customWidth="1"/>
    <col min="11012" max="11012" width="24.5" style="368" customWidth="1"/>
    <col min="11013" max="11264" width="9" style="368"/>
    <col min="11265" max="11265" width="37.5" style="368" customWidth="1"/>
    <col min="11266" max="11266" width="24.5" style="368" customWidth="1"/>
    <col min="11267" max="11267" width="37.5" style="368" customWidth="1"/>
    <col min="11268" max="11268" width="24.5" style="368" customWidth="1"/>
    <col min="11269" max="11520" width="9" style="368"/>
    <col min="11521" max="11521" width="37.5" style="368" customWidth="1"/>
    <col min="11522" max="11522" width="24.5" style="368" customWidth="1"/>
    <col min="11523" max="11523" width="37.5" style="368" customWidth="1"/>
    <col min="11524" max="11524" width="24.5" style="368" customWidth="1"/>
    <col min="11525" max="11776" width="9" style="368"/>
    <col min="11777" max="11777" width="37.5" style="368" customWidth="1"/>
    <col min="11778" max="11778" width="24.5" style="368" customWidth="1"/>
    <col min="11779" max="11779" width="37.5" style="368" customWidth="1"/>
    <col min="11780" max="11780" width="24.5" style="368" customWidth="1"/>
    <col min="11781" max="12032" width="9" style="368"/>
    <col min="12033" max="12033" width="37.5" style="368" customWidth="1"/>
    <col min="12034" max="12034" width="24.5" style="368" customWidth="1"/>
    <col min="12035" max="12035" width="37.5" style="368" customWidth="1"/>
    <col min="12036" max="12036" width="24.5" style="368" customWidth="1"/>
    <col min="12037" max="12288" width="9" style="368"/>
    <col min="12289" max="12289" width="37.5" style="368" customWidth="1"/>
    <col min="12290" max="12290" width="24.5" style="368" customWidth="1"/>
    <col min="12291" max="12291" width="37.5" style="368" customWidth="1"/>
    <col min="12292" max="12292" width="24.5" style="368" customWidth="1"/>
    <col min="12293" max="12544" width="9" style="368"/>
    <col min="12545" max="12545" width="37.5" style="368" customWidth="1"/>
    <col min="12546" max="12546" width="24.5" style="368" customWidth="1"/>
    <col min="12547" max="12547" width="37.5" style="368" customWidth="1"/>
    <col min="12548" max="12548" width="24.5" style="368" customWidth="1"/>
    <col min="12549" max="12800" width="9" style="368"/>
    <col min="12801" max="12801" width="37.5" style="368" customWidth="1"/>
    <col min="12802" max="12802" width="24.5" style="368" customWidth="1"/>
    <col min="12803" max="12803" width="37.5" style="368" customWidth="1"/>
    <col min="12804" max="12804" width="24.5" style="368" customWidth="1"/>
    <col min="12805" max="13056" width="9" style="368"/>
    <col min="13057" max="13057" width="37.5" style="368" customWidth="1"/>
    <col min="13058" max="13058" width="24.5" style="368" customWidth="1"/>
    <col min="13059" max="13059" width="37.5" style="368" customWidth="1"/>
    <col min="13060" max="13060" width="24.5" style="368" customWidth="1"/>
    <col min="13061" max="13312" width="9" style="368"/>
    <col min="13313" max="13313" width="37.5" style="368" customWidth="1"/>
    <col min="13314" max="13314" width="24.5" style="368" customWidth="1"/>
    <col min="13315" max="13315" width="37.5" style="368" customWidth="1"/>
    <col min="13316" max="13316" width="24.5" style="368" customWidth="1"/>
    <col min="13317" max="13568" width="9" style="368"/>
    <col min="13569" max="13569" width="37.5" style="368" customWidth="1"/>
    <col min="13570" max="13570" width="24.5" style="368" customWidth="1"/>
    <col min="13571" max="13571" width="37.5" style="368" customWidth="1"/>
    <col min="13572" max="13572" width="24.5" style="368" customWidth="1"/>
    <col min="13573" max="13824" width="9" style="368"/>
    <col min="13825" max="13825" width="37.5" style="368" customWidth="1"/>
    <col min="13826" max="13826" width="24.5" style="368" customWidth="1"/>
    <col min="13827" max="13827" width="37.5" style="368" customWidth="1"/>
    <col min="13828" max="13828" width="24.5" style="368" customWidth="1"/>
    <col min="13829" max="14080" width="9" style="368"/>
    <col min="14081" max="14081" width="37.5" style="368" customWidth="1"/>
    <col min="14082" max="14082" width="24.5" style="368" customWidth="1"/>
    <col min="14083" max="14083" width="37.5" style="368" customWidth="1"/>
    <col min="14084" max="14084" width="24.5" style="368" customWidth="1"/>
    <col min="14085" max="14336" width="9" style="368"/>
    <col min="14337" max="14337" width="37.5" style="368" customWidth="1"/>
    <col min="14338" max="14338" width="24.5" style="368" customWidth="1"/>
    <col min="14339" max="14339" width="37.5" style="368" customWidth="1"/>
    <col min="14340" max="14340" width="24.5" style="368" customWidth="1"/>
    <col min="14341" max="14592" width="9" style="368"/>
    <col min="14593" max="14593" width="37.5" style="368" customWidth="1"/>
    <col min="14594" max="14594" width="24.5" style="368" customWidth="1"/>
    <col min="14595" max="14595" width="37.5" style="368" customWidth="1"/>
    <col min="14596" max="14596" width="24.5" style="368" customWidth="1"/>
    <col min="14597" max="14848" width="9" style="368"/>
    <col min="14849" max="14849" width="37.5" style="368" customWidth="1"/>
    <col min="14850" max="14850" width="24.5" style="368" customWidth="1"/>
    <col min="14851" max="14851" width="37.5" style="368" customWidth="1"/>
    <col min="14852" max="14852" width="24.5" style="368" customWidth="1"/>
    <col min="14853" max="15104" width="9" style="368"/>
    <col min="15105" max="15105" width="37.5" style="368" customWidth="1"/>
    <col min="15106" max="15106" width="24.5" style="368" customWidth="1"/>
    <col min="15107" max="15107" width="37.5" style="368" customWidth="1"/>
    <col min="15108" max="15108" width="24.5" style="368" customWidth="1"/>
    <col min="15109" max="15360" width="9" style="368"/>
    <col min="15361" max="15361" width="37.5" style="368" customWidth="1"/>
    <col min="15362" max="15362" width="24.5" style="368" customWidth="1"/>
    <col min="15363" max="15363" width="37.5" style="368" customWidth="1"/>
    <col min="15364" max="15364" width="24.5" style="368" customWidth="1"/>
    <col min="15365" max="15616" width="9" style="368"/>
    <col min="15617" max="15617" width="37.5" style="368" customWidth="1"/>
    <col min="15618" max="15618" width="24.5" style="368" customWidth="1"/>
    <col min="15619" max="15619" width="37.5" style="368" customWidth="1"/>
    <col min="15620" max="15620" width="24.5" style="368" customWidth="1"/>
    <col min="15621" max="15872" width="9" style="368"/>
    <col min="15873" max="15873" width="37.5" style="368" customWidth="1"/>
    <col min="15874" max="15874" width="24.5" style="368" customWidth="1"/>
    <col min="15875" max="15875" width="37.5" style="368" customWidth="1"/>
    <col min="15876" max="15876" width="24.5" style="368" customWidth="1"/>
    <col min="15877" max="16128" width="9" style="368"/>
    <col min="16129" max="16129" width="37.5" style="368" customWidth="1"/>
    <col min="16130" max="16130" width="24.5" style="368" customWidth="1"/>
    <col min="16131" max="16131" width="37.5" style="368" customWidth="1"/>
    <col min="16132" max="16132" width="24.5" style="368" customWidth="1"/>
    <col min="16133" max="16384" width="9" style="368"/>
  </cols>
  <sheetData>
    <row r="1" spans="1:4" ht="36.75" customHeight="1">
      <c r="A1" s="722" t="s">
        <v>1640</v>
      </c>
      <c r="B1" s="722"/>
      <c r="C1" s="722"/>
      <c r="D1" s="722"/>
    </row>
    <row r="2" spans="1:4" ht="18.75" customHeight="1">
      <c r="A2" s="379"/>
      <c r="B2" s="379"/>
      <c r="C2" s="369"/>
      <c r="D2" s="394" t="s">
        <v>1641</v>
      </c>
    </row>
    <row r="3" spans="1:4" ht="18.75" customHeight="1" thickBot="1">
      <c r="A3" s="343" t="s">
        <v>1499</v>
      </c>
      <c r="B3" s="369"/>
      <c r="C3" s="369"/>
      <c r="D3" s="371" t="s">
        <v>1569</v>
      </c>
    </row>
    <row r="4" spans="1:4" ht="27" customHeight="1" thickBot="1">
      <c r="A4" s="239" t="s">
        <v>1597</v>
      </c>
      <c r="B4" s="396" t="s">
        <v>1642</v>
      </c>
      <c r="C4" s="255" t="s">
        <v>1597</v>
      </c>
      <c r="D4" s="396" t="s">
        <v>1642</v>
      </c>
    </row>
    <row r="5" spans="1:4" ht="24" customHeight="1">
      <c r="A5" s="374" t="s">
        <v>1624</v>
      </c>
      <c r="B5" s="240">
        <v>0</v>
      </c>
      <c r="C5" s="256" t="s">
        <v>1607</v>
      </c>
      <c r="D5" s="240">
        <v>0</v>
      </c>
    </row>
    <row r="6" spans="1:4" ht="24" customHeight="1">
      <c r="A6" s="244" t="s">
        <v>1625</v>
      </c>
      <c r="B6" s="221">
        <v>0</v>
      </c>
      <c r="C6" s="250" t="s">
        <v>1643</v>
      </c>
      <c r="D6" s="221">
        <v>0</v>
      </c>
    </row>
    <row r="7" spans="1:4" ht="24" customHeight="1">
      <c r="A7" s="244" t="s">
        <v>1532</v>
      </c>
      <c r="B7" s="221">
        <v>0</v>
      </c>
      <c r="C7" s="398" t="s">
        <v>1644</v>
      </c>
      <c r="D7" s="221">
        <v>0</v>
      </c>
    </row>
    <row r="8" spans="1:4" ht="24" customHeight="1">
      <c r="A8" s="244" t="s">
        <v>1645</v>
      </c>
      <c r="B8" s="221">
        <v>0</v>
      </c>
      <c r="C8" s="244" t="s">
        <v>1646</v>
      </c>
      <c r="D8" s="245"/>
    </row>
    <row r="9" spans="1:4" ht="24" customHeight="1">
      <c r="A9" s="244" t="s">
        <v>1647</v>
      </c>
      <c r="B9" s="221"/>
      <c r="C9" s="375" t="s">
        <v>1542</v>
      </c>
      <c r="D9" s="245" t="s">
        <v>1542</v>
      </c>
    </row>
    <row r="10" spans="1:4" ht="24" customHeight="1">
      <c r="A10" s="244" t="s">
        <v>1536</v>
      </c>
      <c r="B10" s="221">
        <v>0</v>
      </c>
      <c r="C10" s="398" t="s">
        <v>1648</v>
      </c>
      <c r="D10" s="258"/>
    </row>
    <row r="11" spans="1:4" ht="24" customHeight="1">
      <c r="A11" s="244" t="s">
        <v>1543</v>
      </c>
      <c r="B11" s="241">
        <v>0</v>
      </c>
      <c r="C11" s="244" t="s">
        <v>1649</v>
      </c>
      <c r="D11" s="249"/>
    </row>
    <row r="12" spans="1:4" ht="24" customHeight="1">
      <c r="A12" s="242" t="s">
        <v>1545</v>
      </c>
      <c r="B12" s="243">
        <v>0</v>
      </c>
      <c r="C12" s="242" t="s">
        <v>1650</v>
      </c>
      <c r="D12" s="243"/>
    </row>
    <row r="13" spans="1:4" ht="24" customHeight="1">
      <c r="A13" s="242" t="s">
        <v>1615</v>
      </c>
      <c r="B13" s="243">
        <v>0</v>
      </c>
      <c r="C13" s="242" t="s">
        <v>1651</v>
      </c>
      <c r="D13" s="243">
        <v>0</v>
      </c>
    </row>
    <row r="14" spans="1:4" ht="24" customHeight="1">
      <c r="A14" s="242" t="s">
        <v>1549</v>
      </c>
      <c r="B14" s="243">
        <v>0</v>
      </c>
      <c r="C14" s="242" t="s">
        <v>1652</v>
      </c>
      <c r="D14" s="243">
        <v>0</v>
      </c>
    </row>
    <row r="15" spans="1:4" ht="24" customHeight="1">
      <c r="A15" s="244" t="s">
        <v>1551</v>
      </c>
      <c r="B15" s="397">
        <v>0</v>
      </c>
      <c r="C15" s="244" t="s">
        <v>1653</v>
      </c>
      <c r="D15" s="397">
        <v>0</v>
      </c>
    </row>
    <row r="16" spans="1:4" ht="24" customHeight="1">
      <c r="A16" s="332" t="s">
        <v>1542</v>
      </c>
      <c r="B16" s="245" t="s">
        <v>1542</v>
      </c>
      <c r="C16" s="244" t="s">
        <v>1654</v>
      </c>
      <c r="D16" s="221">
        <v>0</v>
      </c>
    </row>
    <row r="17" spans="1:4" ht="24" customHeight="1" thickBot="1">
      <c r="A17" s="247" t="s">
        <v>1554</v>
      </c>
      <c r="B17" s="246">
        <v>0</v>
      </c>
      <c r="C17" s="247" t="s">
        <v>1655</v>
      </c>
      <c r="D17" s="246">
        <v>0</v>
      </c>
    </row>
    <row r="18" spans="1:4" ht="27" customHeight="1" thickBot="1">
      <c r="A18" s="239" t="s">
        <v>1656</v>
      </c>
      <c r="B18" s="386">
        <v>0</v>
      </c>
      <c r="C18" s="255" t="s">
        <v>1656</v>
      </c>
      <c r="D18" s="386">
        <v>0</v>
      </c>
    </row>
  </sheetData>
  <mergeCells count="1">
    <mergeCell ref="A1:D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orientation="landscape" errors="blank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A3" sqref="A1:XFD1048576"/>
    </sheetView>
  </sheetViews>
  <sheetFormatPr defaultRowHeight="14.25" customHeight="1"/>
  <cols>
    <col min="1" max="1" width="37.5" style="368" customWidth="1"/>
    <col min="2" max="2" width="24.5" style="368" customWidth="1"/>
    <col min="3" max="3" width="37.5" style="368" customWidth="1"/>
    <col min="4" max="4" width="24.5" style="368" customWidth="1"/>
    <col min="5" max="256" width="9" style="368"/>
    <col min="257" max="257" width="37.5" style="368" customWidth="1"/>
    <col min="258" max="258" width="24.5" style="368" customWidth="1"/>
    <col min="259" max="259" width="37.5" style="368" customWidth="1"/>
    <col min="260" max="260" width="24.5" style="368" customWidth="1"/>
    <col min="261" max="512" width="9" style="368"/>
    <col min="513" max="513" width="37.5" style="368" customWidth="1"/>
    <col min="514" max="514" width="24.5" style="368" customWidth="1"/>
    <col min="515" max="515" width="37.5" style="368" customWidth="1"/>
    <col min="516" max="516" width="24.5" style="368" customWidth="1"/>
    <col min="517" max="768" width="9" style="368"/>
    <col min="769" max="769" width="37.5" style="368" customWidth="1"/>
    <col min="770" max="770" width="24.5" style="368" customWidth="1"/>
    <col min="771" max="771" width="37.5" style="368" customWidth="1"/>
    <col min="772" max="772" width="24.5" style="368" customWidth="1"/>
    <col min="773" max="1024" width="9" style="368"/>
    <col min="1025" max="1025" width="37.5" style="368" customWidth="1"/>
    <col min="1026" max="1026" width="24.5" style="368" customWidth="1"/>
    <col min="1027" max="1027" width="37.5" style="368" customWidth="1"/>
    <col min="1028" max="1028" width="24.5" style="368" customWidth="1"/>
    <col min="1029" max="1280" width="9" style="368"/>
    <col min="1281" max="1281" width="37.5" style="368" customWidth="1"/>
    <col min="1282" max="1282" width="24.5" style="368" customWidth="1"/>
    <col min="1283" max="1283" width="37.5" style="368" customWidth="1"/>
    <col min="1284" max="1284" width="24.5" style="368" customWidth="1"/>
    <col min="1285" max="1536" width="9" style="368"/>
    <col min="1537" max="1537" width="37.5" style="368" customWidth="1"/>
    <col min="1538" max="1538" width="24.5" style="368" customWidth="1"/>
    <col min="1539" max="1539" width="37.5" style="368" customWidth="1"/>
    <col min="1540" max="1540" width="24.5" style="368" customWidth="1"/>
    <col min="1541" max="1792" width="9" style="368"/>
    <col min="1793" max="1793" width="37.5" style="368" customWidth="1"/>
    <col min="1794" max="1794" width="24.5" style="368" customWidth="1"/>
    <col min="1795" max="1795" width="37.5" style="368" customWidth="1"/>
    <col min="1796" max="1796" width="24.5" style="368" customWidth="1"/>
    <col min="1797" max="2048" width="9" style="368"/>
    <col min="2049" max="2049" width="37.5" style="368" customWidth="1"/>
    <col min="2050" max="2050" width="24.5" style="368" customWidth="1"/>
    <col min="2051" max="2051" width="37.5" style="368" customWidth="1"/>
    <col min="2052" max="2052" width="24.5" style="368" customWidth="1"/>
    <col min="2053" max="2304" width="9" style="368"/>
    <col min="2305" max="2305" width="37.5" style="368" customWidth="1"/>
    <col min="2306" max="2306" width="24.5" style="368" customWidth="1"/>
    <col min="2307" max="2307" width="37.5" style="368" customWidth="1"/>
    <col min="2308" max="2308" width="24.5" style="368" customWidth="1"/>
    <col min="2309" max="2560" width="9" style="368"/>
    <col min="2561" max="2561" width="37.5" style="368" customWidth="1"/>
    <col min="2562" max="2562" width="24.5" style="368" customWidth="1"/>
    <col min="2563" max="2563" width="37.5" style="368" customWidth="1"/>
    <col min="2564" max="2564" width="24.5" style="368" customWidth="1"/>
    <col min="2565" max="2816" width="9" style="368"/>
    <col min="2817" max="2817" width="37.5" style="368" customWidth="1"/>
    <col min="2818" max="2818" width="24.5" style="368" customWidth="1"/>
    <col min="2819" max="2819" width="37.5" style="368" customWidth="1"/>
    <col min="2820" max="2820" width="24.5" style="368" customWidth="1"/>
    <col min="2821" max="3072" width="9" style="368"/>
    <col min="3073" max="3073" width="37.5" style="368" customWidth="1"/>
    <col min="3074" max="3074" width="24.5" style="368" customWidth="1"/>
    <col min="3075" max="3075" width="37.5" style="368" customWidth="1"/>
    <col min="3076" max="3076" width="24.5" style="368" customWidth="1"/>
    <col min="3077" max="3328" width="9" style="368"/>
    <col min="3329" max="3329" width="37.5" style="368" customWidth="1"/>
    <col min="3330" max="3330" width="24.5" style="368" customWidth="1"/>
    <col min="3331" max="3331" width="37.5" style="368" customWidth="1"/>
    <col min="3332" max="3332" width="24.5" style="368" customWidth="1"/>
    <col min="3333" max="3584" width="9" style="368"/>
    <col min="3585" max="3585" width="37.5" style="368" customWidth="1"/>
    <col min="3586" max="3586" width="24.5" style="368" customWidth="1"/>
    <col min="3587" max="3587" width="37.5" style="368" customWidth="1"/>
    <col min="3588" max="3588" width="24.5" style="368" customWidth="1"/>
    <col min="3589" max="3840" width="9" style="368"/>
    <col min="3841" max="3841" width="37.5" style="368" customWidth="1"/>
    <col min="3842" max="3842" width="24.5" style="368" customWidth="1"/>
    <col min="3843" max="3843" width="37.5" style="368" customWidth="1"/>
    <col min="3844" max="3844" width="24.5" style="368" customWidth="1"/>
    <col min="3845" max="4096" width="9" style="368"/>
    <col min="4097" max="4097" width="37.5" style="368" customWidth="1"/>
    <col min="4098" max="4098" width="24.5" style="368" customWidth="1"/>
    <col min="4099" max="4099" width="37.5" style="368" customWidth="1"/>
    <col min="4100" max="4100" width="24.5" style="368" customWidth="1"/>
    <col min="4101" max="4352" width="9" style="368"/>
    <col min="4353" max="4353" width="37.5" style="368" customWidth="1"/>
    <col min="4354" max="4354" width="24.5" style="368" customWidth="1"/>
    <col min="4355" max="4355" width="37.5" style="368" customWidth="1"/>
    <col min="4356" max="4356" width="24.5" style="368" customWidth="1"/>
    <col min="4357" max="4608" width="9" style="368"/>
    <col min="4609" max="4609" width="37.5" style="368" customWidth="1"/>
    <col min="4610" max="4610" width="24.5" style="368" customWidth="1"/>
    <col min="4611" max="4611" width="37.5" style="368" customWidth="1"/>
    <col min="4612" max="4612" width="24.5" style="368" customWidth="1"/>
    <col min="4613" max="4864" width="9" style="368"/>
    <col min="4865" max="4865" width="37.5" style="368" customWidth="1"/>
    <col min="4866" max="4866" width="24.5" style="368" customWidth="1"/>
    <col min="4867" max="4867" width="37.5" style="368" customWidth="1"/>
    <col min="4868" max="4868" width="24.5" style="368" customWidth="1"/>
    <col min="4869" max="5120" width="9" style="368"/>
    <col min="5121" max="5121" width="37.5" style="368" customWidth="1"/>
    <col min="5122" max="5122" width="24.5" style="368" customWidth="1"/>
    <col min="5123" max="5123" width="37.5" style="368" customWidth="1"/>
    <col min="5124" max="5124" width="24.5" style="368" customWidth="1"/>
    <col min="5125" max="5376" width="9" style="368"/>
    <col min="5377" max="5377" width="37.5" style="368" customWidth="1"/>
    <col min="5378" max="5378" width="24.5" style="368" customWidth="1"/>
    <col min="5379" max="5379" width="37.5" style="368" customWidth="1"/>
    <col min="5380" max="5380" width="24.5" style="368" customWidth="1"/>
    <col min="5381" max="5632" width="9" style="368"/>
    <col min="5633" max="5633" width="37.5" style="368" customWidth="1"/>
    <col min="5634" max="5634" width="24.5" style="368" customWidth="1"/>
    <col min="5635" max="5635" width="37.5" style="368" customWidth="1"/>
    <col min="5636" max="5636" width="24.5" style="368" customWidth="1"/>
    <col min="5637" max="5888" width="9" style="368"/>
    <col min="5889" max="5889" width="37.5" style="368" customWidth="1"/>
    <col min="5890" max="5890" width="24.5" style="368" customWidth="1"/>
    <col min="5891" max="5891" width="37.5" style="368" customWidth="1"/>
    <col min="5892" max="5892" width="24.5" style="368" customWidth="1"/>
    <col min="5893" max="6144" width="9" style="368"/>
    <col min="6145" max="6145" width="37.5" style="368" customWidth="1"/>
    <col min="6146" max="6146" width="24.5" style="368" customWidth="1"/>
    <col min="6147" max="6147" width="37.5" style="368" customWidth="1"/>
    <col min="6148" max="6148" width="24.5" style="368" customWidth="1"/>
    <col min="6149" max="6400" width="9" style="368"/>
    <col min="6401" max="6401" width="37.5" style="368" customWidth="1"/>
    <col min="6402" max="6402" width="24.5" style="368" customWidth="1"/>
    <col min="6403" max="6403" width="37.5" style="368" customWidth="1"/>
    <col min="6404" max="6404" width="24.5" style="368" customWidth="1"/>
    <col min="6405" max="6656" width="9" style="368"/>
    <col min="6657" max="6657" width="37.5" style="368" customWidth="1"/>
    <col min="6658" max="6658" width="24.5" style="368" customWidth="1"/>
    <col min="6659" max="6659" width="37.5" style="368" customWidth="1"/>
    <col min="6660" max="6660" width="24.5" style="368" customWidth="1"/>
    <col min="6661" max="6912" width="9" style="368"/>
    <col min="6913" max="6913" width="37.5" style="368" customWidth="1"/>
    <col min="6914" max="6914" width="24.5" style="368" customWidth="1"/>
    <col min="6915" max="6915" width="37.5" style="368" customWidth="1"/>
    <col min="6916" max="6916" width="24.5" style="368" customWidth="1"/>
    <col min="6917" max="7168" width="9" style="368"/>
    <col min="7169" max="7169" width="37.5" style="368" customWidth="1"/>
    <col min="7170" max="7170" width="24.5" style="368" customWidth="1"/>
    <col min="7171" max="7171" width="37.5" style="368" customWidth="1"/>
    <col min="7172" max="7172" width="24.5" style="368" customWidth="1"/>
    <col min="7173" max="7424" width="9" style="368"/>
    <col min="7425" max="7425" width="37.5" style="368" customWidth="1"/>
    <col min="7426" max="7426" width="24.5" style="368" customWidth="1"/>
    <col min="7427" max="7427" width="37.5" style="368" customWidth="1"/>
    <col min="7428" max="7428" width="24.5" style="368" customWidth="1"/>
    <col min="7429" max="7680" width="9" style="368"/>
    <col min="7681" max="7681" width="37.5" style="368" customWidth="1"/>
    <col min="7682" max="7682" width="24.5" style="368" customWidth="1"/>
    <col min="7683" max="7683" width="37.5" style="368" customWidth="1"/>
    <col min="7684" max="7684" width="24.5" style="368" customWidth="1"/>
    <col min="7685" max="7936" width="9" style="368"/>
    <col min="7937" max="7937" width="37.5" style="368" customWidth="1"/>
    <col min="7938" max="7938" width="24.5" style="368" customWidth="1"/>
    <col min="7939" max="7939" width="37.5" style="368" customWidth="1"/>
    <col min="7940" max="7940" width="24.5" style="368" customWidth="1"/>
    <col min="7941" max="8192" width="9" style="368"/>
    <col min="8193" max="8193" width="37.5" style="368" customWidth="1"/>
    <col min="8194" max="8194" width="24.5" style="368" customWidth="1"/>
    <col min="8195" max="8195" width="37.5" style="368" customWidth="1"/>
    <col min="8196" max="8196" width="24.5" style="368" customWidth="1"/>
    <col min="8197" max="8448" width="9" style="368"/>
    <col min="8449" max="8449" width="37.5" style="368" customWidth="1"/>
    <col min="8450" max="8450" width="24.5" style="368" customWidth="1"/>
    <col min="8451" max="8451" width="37.5" style="368" customWidth="1"/>
    <col min="8452" max="8452" width="24.5" style="368" customWidth="1"/>
    <col min="8453" max="8704" width="9" style="368"/>
    <col min="8705" max="8705" width="37.5" style="368" customWidth="1"/>
    <col min="8706" max="8706" width="24.5" style="368" customWidth="1"/>
    <col min="8707" max="8707" width="37.5" style="368" customWidth="1"/>
    <col min="8708" max="8708" width="24.5" style="368" customWidth="1"/>
    <col min="8709" max="8960" width="9" style="368"/>
    <col min="8961" max="8961" width="37.5" style="368" customWidth="1"/>
    <col min="8962" max="8962" width="24.5" style="368" customWidth="1"/>
    <col min="8963" max="8963" width="37.5" style="368" customWidth="1"/>
    <col min="8964" max="8964" width="24.5" style="368" customWidth="1"/>
    <col min="8965" max="9216" width="9" style="368"/>
    <col min="9217" max="9217" width="37.5" style="368" customWidth="1"/>
    <col min="9218" max="9218" width="24.5" style="368" customWidth="1"/>
    <col min="9219" max="9219" width="37.5" style="368" customWidth="1"/>
    <col min="9220" max="9220" width="24.5" style="368" customWidth="1"/>
    <col min="9221" max="9472" width="9" style="368"/>
    <col min="9473" max="9473" width="37.5" style="368" customWidth="1"/>
    <col min="9474" max="9474" width="24.5" style="368" customWidth="1"/>
    <col min="9475" max="9475" width="37.5" style="368" customWidth="1"/>
    <col min="9476" max="9476" width="24.5" style="368" customWidth="1"/>
    <col min="9477" max="9728" width="9" style="368"/>
    <col min="9729" max="9729" width="37.5" style="368" customWidth="1"/>
    <col min="9730" max="9730" width="24.5" style="368" customWidth="1"/>
    <col min="9731" max="9731" width="37.5" style="368" customWidth="1"/>
    <col min="9732" max="9732" width="24.5" style="368" customWidth="1"/>
    <col min="9733" max="9984" width="9" style="368"/>
    <col min="9985" max="9985" width="37.5" style="368" customWidth="1"/>
    <col min="9986" max="9986" width="24.5" style="368" customWidth="1"/>
    <col min="9987" max="9987" width="37.5" style="368" customWidth="1"/>
    <col min="9988" max="9988" width="24.5" style="368" customWidth="1"/>
    <col min="9989" max="10240" width="9" style="368"/>
    <col min="10241" max="10241" width="37.5" style="368" customWidth="1"/>
    <col min="10242" max="10242" width="24.5" style="368" customWidth="1"/>
    <col min="10243" max="10243" width="37.5" style="368" customWidth="1"/>
    <col min="10244" max="10244" width="24.5" style="368" customWidth="1"/>
    <col min="10245" max="10496" width="9" style="368"/>
    <col min="10497" max="10497" width="37.5" style="368" customWidth="1"/>
    <col min="10498" max="10498" width="24.5" style="368" customWidth="1"/>
    <col min="10499" max="10499" width="37.5" style="368" customWidth="1"/>
    <col min="10500" max="10500" width="24.5" style="368" customWidth="1"/>
    <col min="10501" max="10752" width="9" style="368"/>
    <col min="10753" max="10753" width="37.5" style="368" customWidth="1"/>
    <col min="10754" max="10754" width="24.5" style="368" customWidth="1"/>
    <col min="10755" max="10755" width="37.5" style="368" customWidth="1"/>
    <col min="10756" max="10756" width="24.5" style="368" customWidth="1"/>
    <col min="10757" max="11008" width="9" style="368"/>
    <col min="11009" max="11009" width="37.5" style="368" customWidth="1"/>
    <col min="11010" max="11010" width="24.5" style="368" customWidth="1"/>
    <col min="11011" max="11011" width="37.5" style="368" customWidth="1"/>
    <col min="11012" max="11012" width="24.5" style="368" customWidth="1"/>
    <col min="11013" max="11264" width="9" style="368"/>
    <col min="11265" max="11265" width="37.5" style="368" customWidth="1"/>
    <col min="11266" max="11266" width="24.5" style="368" customWidth="1"/>
    <col min="11267" max="11267" width="37.5" style="368" customWidth="1"/>
    <col min="11268" max="11268" width="24.5" style="368" customWidth="1"/>
    <col min="11269" max="11520" width="9" style="368"/>
    <col min="11521" max="11521" width="37.5" style="368" customWidth="1"/>
    <col min="11522" max="11522" width="24.5" style="368" customWidth="1"/>
    <col min="11523" max="11523" width="37.5" style="368" customWidth="1"/>
    <col min="11524" max="11524" width="24.5" style="368" customWidth="1"/>
    <col min="11525" max="11776" width="9" style="368"/>
    <col min="11777" max="11777" width="37.5" style="368" customWidth="1"/>
    <col min="11778" max="11778" width="24.5" style="368" customWidth="1"/>
    <col min="11779" max="11779" width="37.5" style="368" customWidth="1"/>
    <col min="11780" max="11780" width="24.5" style="368" customWidth="1"/>
    <col min="11781" max="12032" width="9" style="368"/>
    <col min="12033" max="12033" width="37.5" style="368" customWidth="1"/>
    <col min="12034" max="12034" width="24.5" style="368" customWidth="1"/>
    <col min="12035" max="12035" width="37.5" style="368" customWidth="1"/>
    <col min="12036" max="12036" width="24.5" style="368" customWidth="1"/>
    <col min="12037" max="12288" width="9" style="368"/>
    <col min="12289" max="12289" width="37.5" style="368" customWidth="1"/>
    <col min="12290" max="12290" width="24.5" style="368" customWidth="1"/>
    <col min="12291" max="12291" width="37.5" style="368" customWidth="1"/>
    <col min="12292" max="12292" width="24.5" style="368" customWidth="1"/>
    <col min="12293" max="12544" width="9" style="368"/>
    <col min="12545" max="12545" width="37.5" style="368" customWidth="1"/>
    <col min="12546" max="12546" width="24.5" style="368" customWidth="1"/>
    <col min="12547" max="12547" width="37.5" style="368" customWidth="1"/>
    <col min="12548" max="12548" width="24.5" style="368" customWidth="1"/>
    <col min="12549" max="12800" width="9" style="368"/>
    <col min="12801" max="12801" width="37.5" style="368" customWidth="1"/>
    <col min="12802" max="12802" width="24.5" style="368" customWidth="1"/>
    <col min="12803" max="12803" width="37.5" style="368" customWidth="1"/>
    <col min="12804" max="12804" width="24.5" style="368" customWidth="1"/>
    <col min="12805" max="13056" width="9" style="368"/>
    <col min="13057" max="13057" width="37.5" style="368" customWidth="1"/>
    <col min="13058" max="13058" width="24.5" style="368" customWidth="1"/>
    <col min="13059" max="13059" width="37.5" style="368" customWidth="1"/>
    <col min="13060" max="13060" width="24.5" style="368" customWidth="1"/>
    <col min="13061" max="13312" width="9" style="368"/>
    <col min="13313" max="13313" width="37.5" style="368" customWidth="1"/>
    <col min="13314" max="13314" width="24.5" style="368" customWidth="1"/>
    <col min="13315" max="13315" width="37.5" style="368" customWidth="1"/>
    <col min="13316" max="13316" width="24.5" style="368" customWidth="1"/>
    <col min="13317" max="13568" width="9" style="368"/>
    <col min="13569" max="13569" width="37.5" style="368" customWidth="1"/>
    <col min="13570" max="13570" width="24.5" style="368" customWidth="1"/>
    <col min="13571" max="13571" width="37.5" style="368" customWidth="1"/>
    <col min="13572" max="13572" width="24.5" style="368" customWidth="1"/>
    <col min="13573" max="13824" width="9" style="368"/>
    <col min="13825" max="13825" width="37.5" style="368" customWidth="1"/>
    <col min="13826" max="13826" width="24.5" style="368" customWidth="1"/>
    <col min="13827" max="13827" width="37.5" style="368" customWidth="1"/>
    <col min="13828" max="13828" width="24.5" style="368" customWidth="1"/>
    <col min="13829" max="14080" width="9" style="368"/>
    <col min="14081" max="14081" width="37.5" style="368" customWidth="1"/>
    <col min="14082" max="14082" width="24.5" style="368" customWidth="1"/>
    <col min="14083" max="14083" width="37.5" style="368" customWidth="1"/>
    <col min="14084" max="14084" width="24.5" style="368" customWidth="1"/>
    <col min="14085" max="14336" width="9" style="368"/>
    <col min="14337" max="14337" width="37.5" style="368" customWidth="1"/>
    <col min="14338" max="14338" width="24.5" style="368" customWidth="1"/>
    <col min="14339" max="14339" width="37.5" style="368" customWidth="1"/>
    <col min="14340" max="14340" width="24.5" style="368" customWidth="1"/>
    <col min="14341" max="14592" width="9" style="368"/>
    <col min="14593" max="14593" width="37.5" style="368" customWidth="1"/>
    <col min="14594" max="14594" width="24.5" style="368" customWidth="1"/>
    <col min="14595" max="14595" width="37.5" style="368" customWidth="1"/>
    <col min="14596" max="14596" width="24.5" style="368" customWidth="1"/>
    <col min="14597" max="14848" width="9" style="368"/>
    <col min="14849" max="14849" width="37.5" style="368" customWidth="1"/>
    <col min="14850" max="14850" width="24.5" style="368" customWidth="1"/>
    <col min="14851" max="14851" width="37.5" style="368" customWidth="1"/>
    <col min="14852" max="14852" width="24.5" style="368" customWidth="1"/>
    <col min="14853" max="15104" width="9" style="368"/>
    <col min="15105" max="15105" width="37.5" style="368" customWidth="1"/>
    <col min="15106" max="15106" width="24.5" style="368" customWidth="1"/>
    <col min="15107" max="15107" width="37.5" style="368" customWidth="1"/>
    <col min="15108" max="15108" width="24.5" style="368" customWidth="1"/>
    <col min="15109" max="15360" width="9" style="368"/>
    <col min="15361" max="15361" width="37.5" style="368" customWidth="1"/>
    <col min="15362" max="15362" width="24.5" style="368" customWidth="1"/>
    <col min="15363" max="15363" width="37.5" style="368" customWidth="1"/>
    <col min="15364" max="15364" width="24.5" style="368" customWidth="1"/>
    <col min="15365" max="15616" width="9" style="368"/>
    <col min="15617" max="15617" width="37.5" style="368" customWidth="1"/>
    <col min="15618" max="15618" width="24.5" style="368" customWidth="1"/>
    <col min="15619" max="15619" width="37.5" style="368" customWidth="1"/>
    <col min="15620" max="15620" width="24.5" style="368" customWidth="1"/>
    <col min="15621" max="15872" width="9" style="368"/>
    <col min="15873" max="15873" width="37.5" style="368" customWidth="1"/>
    <col min="15874" max="15874" width="24.5" style="368" customWidth="1"/>
    <col min="15875" max="15875" width="37.5" style="368" customWidth="1"/>
    <col min="15876" max="15876" width="24.5" style="368" customWidth="1"/>
    <col min="15877" max="16128" width="9" style="368"/>
    <col min="16129" max="16129" width="37.5" style="368" customWidth="1"/>
    <col min="16130" max="16130" width="24.5" style="368" customWidth="1"/>
    <col min="16131" max="16131" width="37.5" style="368" customWidth="1"/>
    <col min="16132" max="16132" width="24.5" style="368" customWidth="1"/>
    <col min="16133" max="16384" width="9" style="368"/>
  </cols>
  <sheetData>
    <row r="1" spans="1:4" ht="36.75" customHeight="1">
      <c r="A1" s="722" t="s">
        <v>1657</v>
      </c>
      <c r="B1" s="722"/>
      <c r="C1" s="722"/>
      <c r="D1" s="722"/>
    </row>
    <row r="2" spans="1:4" ht="18.75" customHeight="1">
      <c r="A2" s="379"/>
      <c r="B2" s="379"/>
      <c r="C2" s="369"/>
      <c r="D2" s="394" t="s">
        <v>1658</v>
      </c>
    </row>
    <row r="3" spans="1:4" ht="18.75" customHeight="1" thickBot="1">
      <c r="A3" s="343" t="s">
        <v>1526</v>
      </c>
      <c r="B3" s="369"/>
      <c r="C3" s="369"/>
      <c r="D3" s="371" t="s">
        <v>1569</v>
      </c>
    </row>
    <row r="4" spans="1:4" ht="27" customHeight="1" thickBot="1">
      <c r="A4" s="239" t="s">
        <v>1528</v>
      </c>
      <c r="B4" s="396" t="s">
        <v>1529</v>
      </c>
      <c r="C4" s="255" t="s">
        <v>1528</v>
      </c>
      <c r="D4" s="396" t="s">
        <v>1529</v>
      </c>
    </row>
    <row r="5" spans="1:4" ht="24" customHeight="1">
      <c r="A5" s="374" t="s">
        <v>1624</v>
      </c>
      <c r="B5" s="240"/>
      <c r="C5" s="256" t="s">
        <v>1607</v>
      </c>
      <c r="D5" s="240">
        <f>SUM(D6:D7)</f>
        <v>0</v>
      </c>
    </row>
    <row r="6" spans="1:4" ht="24" customHeight="1">
      <c r="A6" s="244" t="s">
        <v>1625</v>
      </c>
      <c r="B6" s="221"/>
      <c r="C6" s="250" t="s">
        <v>1659</v>
      </c>
      <c r="D6" s="221"/>
    </row>
    <row r="7" spans="1:4" ht="24" customHeight="1">
      <c r="A7" s="244" t="s">
        <v>1532</v>
      </c>
      <c r="B7" s="221"/>
      <c r="C7" s="398" t="s">
        <v>1660</v>
      </c>
      <c r="D7" s="221"/>
    </row>
    <row r="8" spans="1:4" ht="24" customHeight="1">
      <c r="A8" s="244" t="s">
        <v>1645</v>
      </c>
      <c r="B8" s="221"/>
      <c r="C8" s="244" t="s">
        <v>1661</v>
      </c>
      <c r="D8" s="221"/>
    </row>
    <row r="9" spans="1:4" ht="24" customHeight="1">
      <c r="A9" s="244" t="s">
        <v>1662</v>
      </c>
      <c r="B9" s="221"/>
      <c r="C9" s="375" t="s">
        <v>1542</v>
      </c>
      <c r="D9" s="245" t="s">
        <v>1542</v>
      </c>
    </row>
    <row r="10" spans="1:4" ht="24" customHeight="1">
      <c r="A10" s="244" t="s">
        <v>1536</v>
      </c>
      <c r="B10" s="221"/>
      <c r="C10" s="398" t="s">
        <v>1663</v>
      </c>
      <c r="D10" s="258"/>
    </row>
    <row r="11" spans="1:4" ht="24" customHeight="1">
      <c r="A11" s="244" t="s">
        <v>1543</v>
      </c>
      <c r="B11" s="241"/>
      <c r="C11" s="244" t="s">
        <v>1664</v>
      </c>
      <c r="D11" s="241">
        <v>0</v>
      </c>
    </row>
    <row r="12" spans="1:4" ht="24" customHeight="1">
      <c r="A12" s="242" t="s">
        <v>1545</v>
      </c>
      <c r="B12" s="399">
        <f>B5+B7+B8+B10+B11</f>
        <v>0</v>
      </c>
      <c r="C12" s="242" t="s">
        <v>1665</v>
      </c>
      <c r="D12" s="243">
        <f>D5+D8+D10+D11</f>
        <v>0</v>
      </c>
    </row>
    <row r="13" spans="1:4" ht="24" customHeight="1">
      <c r="A13" s="242" t="s">
        <v>1615</v>
      </c>
      <c r="B13" s="243"/>
      <c r="C13" s="242" t="s">
        <v>1666</v>
      </c>
      <c r="D13" s="243"/>
    </row>
    <row r="14" spans="1:4" ht="24" customHeight="1">
      <c r="A14" s="242" t="s">
        <v>1549</v>
      </c>
      <c r="B14" s="243"/>
      <c r="C14" s="242" t="s">
        <v>1667</v>
      </c>
      <c r="D14" s="243"/>
    </row>
    <row r="15" spans="1:4" ht="24" customHeight="1">
      <c r="A15" s="244" t="s">
        <v>1551</v>
      </c>
      <c r="B15" s="397">
        <f>SUM(B12:B14)</f>
        <v>0</v>
      </c>
      <c r="C15" s="244" t="s">
        <v>1668</v>
      </c>
      <c r="D15" s="397">
        <f>SUM(D12:D14)</f>
        <v>0</v>
      </c>
    </row>
    <row r="16" spans="1:4" ht="24" customHeight="1">
      <c r="A16" s="332" t="s">
        <v>1542</v>
      </c>
      <c r="B16" s="245" t="s">
        <v>1542</v>
      </c>
      <c r="C16" s="244" t="s">
        <v>1669</v>
      </c>
      <c r="D16" s="221">
        <f>B15-D15</f>
        <v>0</v>
      </c>
    </row>
    <row r="17" spans="1:4" ht="24" customHeight="1" thickBot="1">
      <c r="A17" s="247" t="s">
        <v>1554</v>
      </c>
      <c r="B17" s="246"/>
      <c r="C17" s="247" t="s">
        <v>1670</v>
      </c>
      <c r="D17" s="246">
        <f>B17+D16</f>
        <v>0</v>
      </c>
    </row>
    <row r="18" spans="1:4" ht="27" customHeight="1" thickBot="1">
      <c r="A18" s="239" t="s">
        <v>1556</v>
      </c>
      <c r="B18" s="386">
        <f>B15+B17</f>
        <v>0</v>
      </c>
      <c r="C18" s="255" t="s">
        <v>1556</v>
      </c>
      <c r="D18" s="386">
        <f>D15+D17</f>
        <v>0</v>
      </c>
    </row>
  </sheetData>
  <mergeCells count="1">
    <mergeCell ref="A1:D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orientation="landscape" errors="blank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>
      <selection activeCell="A3" sqref="A1:XFD1048576"/>
    </sheetView>
  </sheetViews>
  <sheetFormatPr defaultRowHeight="14.25" customHeight="1"/>
  <cols>
    <col min="1" max="1" width="37.25" style="368" customWidth="1"/>
    <col min="2" max="2" width="24.5" style="368" customWidth="1"/>
    <col min="3" max="3" width="37.25" style="368" customWidth="1"/>
    <col min="4" max="4" width="24.5" style="368" customWidth="1"/>
    <col min="5" max="5" width="9" style="368"/>
    <col min="6" max="6" width="10.375" style="368" bestFit="1" customWidth="1"/>
    <col min="7" max="256" width="9" style="368"/>
    <col min="257" max="257" width="37.25" style="368" customWidth="1"/>
    <col min="258" max="258" width="24.5" style="368" customWidth="1"/>
    <col min="259" max="259" width="37.25" style="368" customWidth="1"/>
    <col min="260" max="260" width="24.5" style="368" customWidth="1"/>
    <col min="261" max="261" width="9" style="368"/>
    <col min="262" max="262" width="10.375" style="368" bestFit="1" customWidth="1"/>
    <col min="263" max="512" width="9" style="368"/>
    <col min="513" max="513" width="37.25" style="368" customWidth="1"/>
    <col min="514" max="514" width="24.5" style="368" customWidth="1"/>
    <col min="515" max="515" width="37.25" style="368" customWidth="1"/>
    <col min="516" max="516" width="24.5" style="368" customWidth="1"/>
    <col min="517" max="517" width="9" style="368"/>
    <col min="518" max="518" width="10.375" style="368" bestFit="1" customWidth="1"/>
    <col min="519" max="768" width="9" style="368"/>
    <col min="769" max="769" width="37.25" style="368" customWidth="1"/>
    <col min="770" max="770" width="24.5" style="368" customWidth="1"/>
    <col min="771" max="771" width="37.25" style="368" customWidth="1"/>
    <col min="772" max="772" width="24.5" style="368" customWidth="1"/>
    <col min="773" max="773" width="9" style="368"/>
    <col min="774" max="774" width="10.375" style="368" bestFit="1" customWidth="1"/>
    <col min="775" max="1024" width="9" style="368"/>
    <col min="1025" max="1025" width="37.25" style="368" customWidth="1"/>
    <col min="1026" max="1026" width="24.5" style="368" customWidth="1"/>
    <col min="1027" max="1027" width="37.25" style="368" customWidth="1"/>
    <col min="1028" max="1028" width="24.5" style="368" customWidth="1"/>
    <col min="1029" max="1029" width="9" style="368"/>
    <col min="1030" max="1030" width="10.375" style="368" bestFit="1" customWidth="1"/>
    <col min="1031" max="1280" width="9" style="368"/>
    <col min="1281" max="1281" width="37.25" style="368" customWidth="1"/>
    <col min="1282" max="1282" width="24.5" style="368" customWidth="1"/>
    <col min="1283" max="1283" width="37.25" style="368" customWidth="1"/>
    <col min="1284" max="1284" width="24.5" style="368" customWidth="1"/>
    <col min="1285" max="1285" width="9" style="368"/>
    <col min="1286" max="1286" width="10.375" style="368" bestFit="1" customWidth="1"/>
    <col min="1287" max="1536" width="9" style="368"/>
    <col min="1537" max="1537" width="37.25" style="368" customWidth="1"/>
    <col min="1538" max="1538" width="24.5" style="368" customWidth="1"/>
    <col min="1539" max="1539" width="37.25" style="368" customWidth="1"/>
    <col min="1540" max="1540" width="24.5" style="368" customWidth="1"/>
    <col min="1541" max="1541" width="9" style="368"/>
    <col min="1542" max="1542" width="10.375" style="368" bestFit="1" customWidth="1"/>
    <col min="1543" max="1792" width="9" style="368"/>
    <col min="1793" max="1793" width="37.25" style="368" customWidth="1"/>
    <col min="1794" max="1794" width="24.5" style="368" customWidth="1"/>
    <col min="1795" max="1795" width="37.25" style="368" customWidth="1"/>
    <col min="1796" max="1796" width="24.5" style="368" customWidth="1"/>
    <col min="1797" max="1797" width="9" style="368"/>
    <col min="1798" max="1798" width="10.375" style="368" bestFit="1" customWidth="1"/>
    <col min="1799" max="2048" width="9" style="368"/>
    <col min="2049" max="2049" width="37.25" style="368" customWidth="1"/>
    <col min="2050" max="2050" width="24.5" style="368" customWidth="1"/>
    <col min="2051" max="2051" width="37.25" style="368" customWidth="1"/>
    <col min="2052" max="2052" width="24.5" style="368" customWidth="1"/>
    <col min="2053" max="2053" width="9" style="368"/>
    <col min="2054" max="2054" width="10.375" style="368" bestFit="1" customWidth="1"/>
    <col min="2055" max="2304" width="9" style="368"/>
    <col min="2305" max="2305" width="37.25" style="368" customWidth="1"/>
    <col min="2306" max="2306" width="24.5" style="368" customWidth="1"/>
    <col min="2307" max="2307" width="37.25" style="368" customWidth="1"/>
    <col min="2308" max="2308" width="24.5" style="368" customWidth="1"/>
    <col min="2309" max="2309" width="9" style="368"/>
    <col min="2310" max="2310" width="10.375" style="368" bestFit="1" customWidth="1"/>
    <col min="2311" max="2560" width="9" style="368"/>
    <col min="2561" max="2561" width="37.25" style="368" customWidth="1"/>
    <col min="2562" max="2562" width="24.5" style="368" customWidth="1"/>
    <col min="2563" max="2563" width="37.25" style="368" customWidth="1"/>
    <col min="2564" max="2564" width="24.5" style="368" customWidth="1"/>
    <col min="2565" max="2565" width="9" style="368"/>
    <col min="2566" max="2566" width="10.375" style="368" bestFit="1" customWidth="1"/>
    <col min="2567" max="2816" width="9" style="368"/>
    <col min="2817" max="2817" width="37.25" style="368" customWidth="1"/>
    <col min="2818" max="2818" width="24.5" style="368" customWidth="1"/>
    <col min="2819" max="2819" width="37.25" style="368" customWidth="1"/>
    <col min="2820" max="2820" width="24.5" style="368" customWidth="1"/>
    <col min="2821" max="2821" width="9" style="368"/>
    <col min="2822" max="2822" width="10.375" style="368" bestFit="1" customWidth="1"/>
    <col min="2823" max="3072" width="9" style="368"/>
    <col min="3073" max="3073" width="37.25" style="368" customWidth="1"/>
    <col min="3074" max="3074" width="24.5" style="368" customWidth="1"/>
    <col min="3075" max="3075" width="37.25" style="368" customWidth="1"/>
    <col min="3076" max="3076" width="24.5" style="368" customWidth="1"/>
    <col min="3077" max="3077" width="9" style="368"/>
    <col min="3078" max="3078" width="10.375" style="368" bestFit="1" customWidth="1"/>
    <col min="3079" max="3328" width="9" style="368"/>
    <col min="3329" max="3329" width="37.25" style="368" customWidth="1"/>
    <col min="3330" max="3330" width="24.5" style="368" customWidth="1"/>
    <col min="3331" max="3331" width="37.25" style="368" customWidth="1"/>
    <col min="3332" max="3332" width="24.5" style="368" customWidth="1"/>
    <col min="3333" max="3333" width="9" style="368"/>
    <col min="3334" max="3334" width="10.375" style="368" bestFit="1" customWidth="1"/>
    <col min="3335" max="3584" width="9" style="368"/>
    <col min="3585" max="3585" width="37.25" style="368" customWidth="1"/>
    <col min="3586" max="3586" width="24.5" style="368" customWidth="1"/>
    <col min="3587" max="3587" width="37.25" style="368" customWidth="1"/>
    <col min="3588" max="3588" width="24.5" style="368" customWidth="1"/>
    <col min="3589" max="3589" width="9" style="368"/>
    <col min="3590" max="3590" width="10.375" style="368" bestFit="1" customWidth="1"/>
    <col min="3591" max="3840" width="9" style="368"/>
    <col min="3841" max="3841" width="37.25" style="368" customWidth="1"/>
    <col min="3842" max="3842" width="24.5" style="368" customWidth="1"/>
    <col min="3843" max="3843" width="37.25" style="368" customWidth="1"/>
    <col min="3844" max="3844" width="24.5" style="368" customWidth="1"/>
    <col min="3845" max="3845" width="9" style="368"/>
    <col min="3846" max="3846" width="10.375" style="368" bestFit="1" customWidth="1"/>
    <col min="3847" max="4096" width="9" style="368"/>
    <col min="4097" max="4097" width="37.25" style="368" customWidth="1"/>
    <col min="4098" max="4098" width="24.5" style="368" customWidth="1"/>
    <col min="4099" max="4099" width="37.25" style="368" customWidth="1"/>
    <col min="4100" max="4100" width="24.5" style="368" customWidth="1"/>
    <col min="4101" max="4101" width="9" style="368"/>
    <col min="4102" max="4102" width="10.375" style="368" bestFit="1" customWidth="1"/>
    <col min="4103" max="4352" width="9" style="368"/>
    <col min="4353" max="4353" width="37.25" style="368" customWidth="1"/>
    <col min="4354" max="4354" width="24.5" style="368" customWidth="1"/>
    <col min="4355" max="4355" width="37.25" style="368" customWidth="1"/>
    <col min="4356" max="4356" width="24.5" style="368" customWidth="1"/>
    <col min="4357" max="4357" width="9" style="368"/>
    <col min="4358" max="4358" width="10.375" style="368" bestFit="1" customWidth="1"/>
    <col min="4359" max="4608" width="9" style="368"/>
    <col min="4609" max="4609" width="37.25" style="368" customWidth="1"/>
    <col min="4610" max="4610" width="24.5" style="368" customWidth="1"/>
    <col min="4611" max="4611" width="37.25" style="368" customWidth="1"/>
    <col min="4612" max="4612" width="24.5" style="368" customWidth="1"/>
    <col min="4613" max="4613" width="9" style="368"/>
    <col min="4614" max="4614" width="10.375" style="368" bestFit="1" customWidth="1"/>
    <col min="4615" max="4864" width="9" style="368"/>
    <col min="4865" max="4865" width="37.25" style="368" customWidth="1"/>
    <col min="4866" max="4866" width="24.5" style="368" customWidth="1"/>
    <col min="4867" max="4867" width="37.25" style="368" customWidth="1"/>
    <col min="4868" max="4868" width="24.5" style="368" customWidth="1"/>
    <col min="4869" max="4869" width="9" style="368"/>
    <col min="4870" max="4870" width="10.375" style="368" bestFit="1" customWidth="1"/>
    <col min="4871" max="5120" width="9" style="368"/>
    <col min="5121" max="5121" width="37.25" style="368" customWidth="1"/>
    <col min="5122" max="5122" width="24.5" style="368" customWidth="1"/>
    <col min="5123" max="5123" width="37.25" style="368" customWidth="1"/>
    <col min="5124" max="5124" width="24.5" style="368" customWidth="1"/>
    <col min="5125" max="5125" width="9" style="368"/>
    <col min="5126" max="5126" width="10.375" style="368" bestFit="1" customWidth="1"/>
    <col min="5127" max="5376" width="9" style="368"/>
    <col min="5377" max="5377" width="37.25" style="368" customWidth="1"/>
    <col min="5378" max="5378" width="24.5" style="368" customWidth="1"/>
    <col min="5379" max="5379" width="37.25" style="368" customWidth="1"/>
    <col min="5380" max="5380" width="24.5" style="368" customWidth="1"/>
    <col min="5381" max="5381" width="9" style="368"/>
    <col min="5382" max="5382" width="10.375" style="368" bestFit="1" customWidth="1"/>
    <col min="5383" max="5632" width="9" style="368"/>
    <col min="5633" max="5633" width="37.25" style="368" customWidth="1"/>
    <col min="5634" max="5634" width="24.5" style="368" customWidth="1"/>
    <col min="5635" max="5635" width="37.25" style="368" customWidth="1"/>
    <col min="5636" max="5636" width="24.5" style="368" customWidth="1"/>
    <col min="5637" max="5637" width="9" style="368"/>
    <col min="5638" max="5638" width="10.375" style="368" bestFit="1" customWidth="1"/>
    <col min="5639" max="5888" width="9" style="368"/>
    <col min="5889" max="5889" width="37.25" style="368" customWidth="1"/>
    <col min="5890" max="5890" width="24.5" style="368" customWidth="1"/>
    <col min="5891" max="5891" width="37.25" style="368" customWidth="1"/>
    <col min="5892" max="5892" width="24.5" style="368" customWidth="1"/>
    <col min="5893" max="5893" width="9" style="368"/>
    <col min="5894" max="5894" width="10.375" style="368" bestFit="1" customWidth="1"/>
    <col min="5895" max="6144" width="9" style="368"/>
    <col min="6145" max="6145" width="37.25" style="368" customWidth="1"/>
    <col min="6146" max="6146" width="24.5" style="368" customWidth="1"/>
    <col min="6147" max="6147" width="37.25" style="368" customWidth="1"/>
    <col min="6148" max="6148" width="24.5" style="368" customWidth="1"/>
    <col min="6149" max="6149" width="9" style="368"/>
    <col min="6150" max="6150" width="10.375" style="368" bestFit="1" customWidth="1"/>
    <col min="6151" max="6400" width="9" style="368"/>
    <col min="6401" max="6401" width="37.25" style="368" customWidth="1"/>
    <col min="6402" max="6402" width="24.5" style="368" customWidth="1"/>
    <col min="6403" max="6403" width="37.25" style="368" customWidth="1"/>
    <col min="6404" max="6404" width="24.5" style="368" customWidth="1"/>
    <col min="6405" max="6405" width="9" style="368"/>
    <col min="6406" max="6406" width="10.375" style="368" bestFit="1" customWidth="1"/>
    <col min="6407" max="6656" width="9" style="368"/>
    <col min="6657" max="6657" width="37.25" style="368" customWidth="1"/>
    <col min="6658" max="6658" width="24.5" style="368" customWidth="1"/>
    <col min="6659" max="6659" width="37.25" style="368" customWidth="1"/>
    <col min="6660" max="6660" width="24.5" style="368" customWidth="1"/>
    <col min="6661" max="6661" width="9" style="368"/>
    <col min="6662" max="6662" width="10.375" style="368" bestFit="1" customWidth="1"/>
    <col min="6663" max="6912" width="9" style="368"/>
    <col min="6913" max="6913" width="37.25" style="368" customWidth="1"/>
    <col min="6914" max="6914" width="24.5" style="368" customWidth="1"/>
    <col min="6915" max="6915" width="37.25" style="368" customWidth="1"/>
    <col min="6916" max="6916" width="24.5" style="368" customWidth="1"/>
    <col min="6917" max="6917" width="9" style="368"/>
    <col min="6918" max="6918" width="10.375" style="368" bestFit="1" customWidth="1"/>
    <col min="6919" max="7168" width="9" style="368"/>
    <col min="7169" max="7169" width="37.25" style="368" customWidth="1"/>
    <col min="7170" max="7170" width="24.5" style="368" customWidth="1"/>
    <col min="7171" max="7171" width="37.25" style="368" customWidth="1"/>
    <col min="7172" max="7172" width="24.5" style="368" customWidth="1"/>
    <col min="7173" max="7173" width="9" style="368"/>
    <col min="7174" max="7174" width="10.375" style="368" bestFit="1" customWidth="1"/>
    <col min="7175" max="7424" width="9" style="368"/>
    <col min="7425" max="7425" width="37.25" style="368" customWidth="1"/>
    <col min="7426" max="7426" width="24.5" style="368" customWidth="1"/>
    <col min="7427" max="7427" width="37.25" style="368" customWidth="1"/>
    <col min="7428" max="7428" width="24.5" style="368" customWidth="1"/>
    <col min="7429" max="7429" width="9" style="368"/>
    <col min="7430" max="7430" width="10.375" style="368" bestFit="1" customWidth="1"/>
    <col min="7431" max="7680" width="9" style="368"/>
    <col min="7681" max="7681" width="37.25" style="368" customWidth="1"/>
    <col min="7682" max="7682" width="24.5" style="368" customWidth="1"/>
    <col min="7683" max="7683" width="37.25" style="368" customWidth="1"/>
    <col min="7684" max="7684" width="24.5" style="368" customWidth="1"/>
    <col min="7685" max="7685" width="9" style="368"/>
    <col min="7686" max="7686" width="10.375" style="368" bestFit="1" customWidth="1"/>
    <col min="7687" max="7936" width="9" style="368"/>
    <col min="7937" max="7937" width="37.25" style="368" customWidth="1"/>
    <col min="7938" max="7938" width="24.5" style="368" customWidth="1"/>
    <col min="7939" max="7939" width="37.25" style="368" customWidth="1"/>
    <col min="7940" max="7940" width="24.5" style="368" customWidth="1"/>
    <col min="7941" max="7941" width="9" style="368"/>
    <col min="7942" max="7942" width="10.375" style="368" bestFit="1" customWidth="1"/>
    <col min="7943" max="8192" width="9" style="368"/>
    <col min="8193" max="8193" width="37.25" style="368" customWidth="1"/>
    <col min="8194" max="8194" width="24.5" style="368" customWidth="1"/>
    <col min="8195" max="8195" width="37.25" style="368" customWidth="1"/>
    <col min="8196" max="8196" width="24.5" style="368" customWidth="1"/>
    <col min="8197" max="8197" width="9" style="368"/>
    <col min="8198" max="8198" width="10.375" style="368" bestFit="1" customWidth="1"/>
    <col min="8199" max="8448" width="9" style="368"/>
    <col min="8449" max="8449" width="37.25" style="368" customWidth="1"/>
    <col min="8450" max="8450" width="24.5" style="368" customWidth="1"/>
    <col min="8451" max="8451" width="37.25" style="368" customWidth="1"/>
    <col min="8452" max="8452" width="24.5" style="368" customWidth="1"/>
    <col min="8453" max="8453" width="9" style="368"/>
    <col min="8454" max="8454" width="10.375" style="368" bestFit="1" customWidth="1"/>
    <col min="8455" max="8704" width="9" style="368"/>
    <col min="8705" max="8705" width="37.25" style="368" customWidth="1"/>
    <col min="8706" max="8706" width="24.5" style="368" customWidth="1"/>
    <col min="8707" max="8707" width="37.25" style="368" customWidth="1"/>
    <col min="8708" max="8708" width="24.5" style="368" customWidth="1"/>
    <col min="8709" max="8709" width="9" style="368"/>
    <col min="8710" max="8710" width="10.375" style="368" bestFit="1" customWidth="1"/>
    <col min="8711" max="8960" width="9" style="368"/>
    <col min="8961" max="8961" width="37.25" style="368" customWidth="1"/>
    <col min="8962" max="8962" width="24.5" style="368" customWidth="1"/>
    <col min="8963" max="8963" width="37.25" style="368" customWidth="1"/>
    <col min="8964" max="8964" width="24.5" style="368" customWidth="1"/>
    <col min="8965" max="8965" width="9" style="368"/>
    <col min="8966" max="8966" width="10.375" style="368" bestFit="1" customWidth="1"/>
    <col min="8967" max="9216" width="9" style="368"/>
    <col min="9217" max="9217" width="37.25" style="368" customWidth="1"/>
    <col min="9218" max="9218" width="24.5" style="368" customWidth="1"/>
    <col min="9219" max="9219" width="37.25" style="368" customWidth="1"/>
    <col min="9220" max="9220" width="24.5" style="368" customWidth="1"/>
    <col min="9221" max="9221" width="9" style="368"/>
    <col min="9222" max="9222" width="10.375" style="368" bestFit="1" customWidth="1"/>
    <col min="9223" max="9472" width="9" style="368"/>
    <col min="9473" max="9473" width="37.25" style="368" customWidth="1"/>
    <col min="9474" max="9474" width="24.5" style="368" customWidth="1"/>
    <col min="9475" max="9475" width="37.25" style="368" customWidth="1"/>
    <col min="9476" max="9476" width="24.5" style="368" customWidth="1"/>
    <col min="9477" max="9477" width="9" style="368"/>
    <col min="9478" max="9478" width="10.375" style="368" bestFit="1" customWidth="1"/>
    <col min="9479" max="9728" width="9" style="368"/>
    <col min="9729" max="9729" width="37.25" style="368" customWidth="1"/>
    <col min="9730" max="9730" width="24.5" style="368" customWidth="1"/>
    <col min="9731" max="9731" width="37.25" style="368" customWidth="1"/>
    <col min="9732" max="9732" width="24.5" style="368" customWidth="1"/>
    <col min="9733" max="9733" width="9" style="368"/>
    <col min="9734" max="9734" width="10.375" style="368" bestFit="1" customWidth="1"/>
    <col min="9735" max="9984" width="9" style="368"/>
    <col min="9985" max="9985" width="37.25" style="368" customWidth="1"/>
    <col min="9986" max="9986" width="24.5" style="368" customWidth="1"/>
    <col min="9987" max="9987" width="37.25" style="368" customWidth="1"/>
    <col min="9988" max="9988" width="24.5" style="368" customWidth="1"/>
    <col min="9989" max="9989" width="9" style="368"/>
    <col min="9990" max="9990" width="10.375" style="368" bestFit="1" customWidth="1"/>
    <col min="9991" max="10240" width="9" style="368"/>
    <col min="10241" max="10241" width="37.25" style="368" customWidth="1"/>
    <col min="10242" max="10242" width="24.5" style="368" customWidth="1"/>
    <col min="10243" max="10243" width="37.25" style="368" customWidth="1"/>
    <col min="10244" max="10244" width="24.5" style="368" customWidth="1"/>
    <col min="10245" max="10245" width="9" style="368"/>
    <col min="10246" max="10246" width="10.375" style="368" bestFit="1" customWidth="1"/>
    <col min="10247" max="10496" width="9" style="368"/>
    <col min="10497" max="10497" width="37.25" style="368" customWidth="1"/>
    <col min="10498" max="10498" width="24.5" style="368" customWidth="1"/>
    <col min="10499" max="10499" width="37.25" style="368" customWidth="1"/>
    <col min="10500" max="10500" width="24.5" style="368" customWidth="1"/>
    <col min="10501" max="10501" width="9" style="368"/>
    <col min="10502" max="10502" width="10.375" style="368" bestFit="1" customWidth="1"/>
    <col min="10503" max="10752" width="9" style="368"/>
    <col min="10753" max="10753" width="37.25" style="368" customWidth="1"/>
    <col min="10754" max="10754" width="24.5" style="368" customWidth="1"/>
    <col min="10755" max="10755" width="37.25" style="368" customWidth="1"/>
    <col min="10756" max="10756" width="24.5" style="368" customWidth="1"/>
    <col min="10757" max="10757" width="9" style="368"/>
    <col min="10758" max="10758" width="10.375" style="368" bestFit="1" customWidth="1"/>
    <col min="10759" max="11008" width="9" style="368"/>
    <col min="11009" max="11009" width="37.25" style="368" customWidth="1"/>
    <col min="11010" max="11010" width="24.5" style="368" customWidth="1"/>
    <col min="11011" max="11011" width="37.25" style="368" customWidth="1"/>
    <col min="11012" max="11012" width="24.5" style="368" customWidth="1"/>
    <col min="11013" max="11013" width="9" style="368"/>
    <col min="11014" max="11014" width="10.375" style="368" bestFit="1" customWidth="1"/>
    <col min="11015" max="11264" width="9" style="368"/>
    <col min="11265" max="11265" width="37.25" style="368" customWidth="1"/>
    <col min="11266" max="11266" width="24.5" style="368" customWidth="1"/>
    <col min="11267" max="11267" width="37.25" style="368" customWidth="1"/>
    <col min="11268" max="11268" width="24.5" style="368" customWidth="1"/>
    <col min="11269" max="11269" width="9" style="368"/>
    <col min="11270" max="11270" width="10.375" style="368" bestFit="1" customWidth="1"/>
    <col min="11271" max="11520" width="9" style="368"/>
    <col min="11521" max="11521" width="37.25" style="368" customWidth="1"/>
    <col min="11522" max="11522" width="24.5" style="368" customWidth="1"/>
    <col min="11523" max="11523" width="37.25" style="368" customWidth="1"/>
    <col min="11524" max="11524" width="24.5" style="368" customWidth="1"/>
    <col min="11525" max="11525" width="9" style="368"/>
    <col min="11526" max="11526" width="10.375" style="368" bestFit="1" customWidth="1"/>
    <col min="11527" max="11776" width="9" style="368"/>
    <col min="11777" max="11777" width="37.25" style="368" customWidth="1"/>
    <col min="11778" max="11778" width="24.5" style="368" customWidth="1"/>
    <col min="11779" max="11779" width="37.25" style="368" customWidth="1"/>
    <col min="11780" max="11780" width="24.5" style="368" customWidth="1"/>
    <col min="11781" max="11781" width="9" style="368"/>
    <col min="11782" max="11782" width="10.375" style="368" bestFit="1" customWidth="1"/>
    <col min="11783" max="12032" width="9" style="368"/>
    <col min="12033" max="12033" width="37.25" style="368" customWidth="1"/>
    <col min="12034" max="12034" width="24.5" style="368" customWidth="1"/>
    <col min="12035" max="12035" width="37.25" style="368" customWidth="1"/>
    <col min="12036" max="12036" width="24.5" style="368" customWidth="1"/>
    <col min="12037" max="12037" width="9" style="368"/>
    <col min="12038" max="12038" width="10.375" style="368" bestFit="1" customWidth="1"/>
    <col min="12039" max="12288" width="9" style="368"/>
    <col min="12289" max="12289" width="37.25" style="368" customWidth="1"/>
    <col min="12290" max="12290" width="24.5" style="368" customWidth="1"/>
    <col min="12291" max="12291" width="37.25" style="368" customWidth="1"/>
    <col min="12292" max="12292" width="24.5" style="368" customWidth="1"/>
    <col min="12293" max="12293" width="9" style="368"/>
    <col min="12294" max="12294" width="10.375" style="368" bestFit="1" customWidth="1"/>
    <col min="12295" max="12544" width="9" style="368"/>
    <col min="12545" max="12545" width="37.25" style="368" customWidth="1"/>
    <col min="12546" max="12546" width="24.5" style="368" customWidth="1"/>
    <col min="12547" max="12547" width="37.25" style="368" customWidth="1"/>
    <col min="12548" max="12548" width="24.5" style="368" customWidth="1"/>
    <col min="12549" max="12549" width="9" style="368"/>
    <col min="12550" max="12550" width="10.375" style="368" bestFit="1" customWidth="1"/>
    <col min="12551" max="12800" width="9" style="368"/>
    <col min="12801" max="12801" width="37.25" style="368" customWidth="1"/>
    <col min="12802" max="12802" width="24.5" style="368" customWidth="1"/>
    <col min="12803" max="12803" width="37.25" style="368" customWidth="1"/>
    <col min="12804" max="12804" width="24.5" style="368" customWidth="1"/>
    <col min="12805" max="12805" width="9" style="368"/>
    <col min="12806" max="12806" width="10.375" style="368" bestFit="1" customWidth="1"/>
    <col min="12807" max="13056" width="9" style="368"/>
    <col min="13057" max="13057" width="37.25" style="368" customWidth="1"/>
    <col min="13058" max="13058" width="24.5" style="368" customWidth="1"/>
    <col min="13059" max="13059" width="37.25" style="368" customWidth="1"/>
    <col min="13060" max="13060" width="24.5" style="368" customWidth="1"/>
    <col min="13061" max="13061" width="9" style="368"/>
    <col min="13062" max="13062" width="10.375" style="368" bestFit="1" customWidth="1"/>
    <col min="13063" max="13312" width="9" style="368"/>
    <col min="13313" max="13313" width="37.25" style="368" customWidth="1"/>
    <col min="13314" max="13314" width="24.5" style="368" customWidth="1"/>
    <col min="13315" max="13315" width="37.25" style="368" customWidth="1"/>
    <col min="13316" max="13316" width="24.5" style="368" customWidth="1"/>
    <col min="13317" max="13317" width="9" style="368"/>
    <col min="13318" max="13318" width="10.375" style="368" bestFit="1" customWidth="1"/>
    <col min="13319" max="13568" width="9" style="368"/>
    <col min="13569" max="13569" width="37.25" style="368" customWidth="1"/>
    <col min="13570" max="13570" width="24.5" style="368" customWidth="1"/>
    <col min="13571" max="13571" width="37.25" style="368" customWidth="1"/>
    <col min="13572" max="13572" width="24.5" style="368" customWidth="1"/>
    <col min="13573" max="13573" width="9" style="368"/>
    <col min="13574" max="13574" width="10.375" style="368" bestFit="1" customWidth="1"/>
    <col min="13575" max="13824" width="9" style="368"/>
    <col min="13825" max="13825" width="37.25" style="368" customWidth="1"/>
    <col min="13826" max="13826" width="24.5" style="368" customWidth="1"/>
    <col min="13827" max="13827" width="37.25" style="368" customWidth="1"/>
    <col min="13828" max="13828" width="24.5" style="368" customWidth="1"/>
    <col min="13829" max="13829" width="9" style="368"/>
    <col min="13830" max="13830" width="10.375" style="368" bestFit="1" customWidth="1"/>
    <col min="13831" max="14080" width="9" style="368"/>
    <col min="14081" max="14081" width="37.25" style="368" customWidth="1"/>
    <col min="14082" max="14082" width="24.5" style="368" customWidth="1"/>
    <col min="14083" max="14083" width="37.25" style="368" customWidth="1"/>
    <col min="14084" max="14084" width="24.5" style="368" customWidth="1"/>
    <col min="14085" max="14085" width="9" style="368"/>
    <col min="14086" max="14086" width="10.375" style="368" bestFit="1" customWidth="1"/>
    <col min="14087" max="14336" width="9" style="368"/>
    <col min="14337" max="14337" width="37.25" style="368" customWidth="1"/>
    <col min="14338" max="14338" width="24.5" style="368" customWidth="1"/>
    <col min="14339" max="14339" width="37.25" style="368" customWidth="1"/>
    <col min="14340" max="14340" width="24.5" style="368" customWidth="1"/>
    <col min="14341" max="14341" width="9" style="368"/>
    <col min="14342" max="14342" width="10.375" style="368" bestFit="1" customWidth="1"/>
    <col min="14343" max="14592" width="9" style="368"/>
    <col min="14593" max="14593" width="37.25" style="368" customWidth="1"/>
    <col min="14594" max="14594" width="24.5" style="368" customWidth="1"/>
    <col min="14595" max="14595" width="37.25" style="368" customWidth="1"/>
    <col min="14596" max="14596" width="24.5" style="368" customWidth="1"/>
    <col min="14597" max="14597" width="9" style="368"/>
    <col min="14598" max="14598" width="10.375" style="368" bestFit="1" customWidth="1"/>
    <col min="14599" max="14848" width="9" style="368"/>
    <col min="14849" max="14849" width="37.25" style="368" customWidth="1"/>
    <col min="14850" max="14850" width="24.5" style="368" customWidth="1"/>
    <col min="14851" max="14851" width="37.25" style="368" customWidth="1"/>
    <col min="14852" max="14852" width="24.5" style="368" customWidth="1"/>
    <col min="14853" max="14853" width="9" style="368"/>
    <col min="14854" max="14854" width="10.375" style="368" bestFit="1" customWidth="1"/>
    <col min="14855" max="15104" width="9" style="368"/>
    <col min="15105" max="15105" width="37.25" style="368" customWidth="1"/>
    <col min="15106" max="15106" width="24.5" style="368" customWidth="1"/>
    <col min="15107" max="15107" width="37.25" style="368" customWidth="1"/>
    <col min="15108" max="15108" width="24.5" style="368" customWidth="1"/>
    <col min="15109" max="15109" width="9" style="368"/>
    <col min="15110" max="15110" width="10.375" style="368" bestFit="1" customWidth="1"/>
    <col min="15111" max="15360" width="9" style="368"/>
    <col min="15361" max="15361" width="37.25" style="368" customWidth="1"/>
    <col min="15362" max="15362" width="24.5" style="368" customWidth="1"/>
    <col min="15363" max="15363" width="37.25" style="368" customWidth="1"/>
    <col min="15364" max="15364" width="24.5" style="368" customWidth="1"/>
    <col min="15365" max="15365" width="9" style="368"/>
    <col min="15366" max="15366" width="10.375" style="368" bestFit="1" customWidth="1"/>
    <col min="15367" max="15616" width="9" style="368"/>
    <col min="15617" max="15617" width="37.25" style="368" customWidth="1"/>
    <col min="15618" max="15618" width="24.5" style="368" customWidth="1"/>
    <col min="15619" max="15619" width="37.25" style="368" customWidth="1"/>
    <col min="15620" max="15620" width="24.5" style="368" customWidth="1"/>
    <col min="15621" max="15621" width="9" style="368"/>
    <col min="15622" max="15622" width="10.375" style="368" bestFit="1" customWidth="1"/>
    <col min="15623" max="15872" width="9" style="368"/>
    <col min="15873" max="15873" width="37.25" style="368" customWidth="1"/>
    <col min="15874" max="15874" width="24.5" style="368" customWidth="1"/>
    <col min="15875" max="15875" width="37.25" style="368" customWidth="1"/>
    <col min="15876" max="15876" width="24.5" style="368" customWidth="1"/>
    <col min="15877" max="15877" width="9" style="368"/>
    <col min="15878" max="15878" width="10.375" style="368" bestFit="1" customWidth="1"/>
    <col min="15879" max="16128" width="9" style="368"/>
    <col min="16129" max="16129" width="37.25" style="368" customWidth="1"/>
    <col min="16130" max="16130" width="24.5" style="368" customWidth="1"/>
    <col min="16131" max="16131" width="37.25" style="368" customWidth="1"/>
    <col min="16132" max="16132" width="24.5" style="368" customWidth="1"/>
    <col min="16133" max="16133" width="9" style="368"/>
    <col min="16134" max="16134" width="10.375" style="368" bestFit="1" customWidth="1"/>
    <col min="16135" max="16384" width="9" style="368"/>
  </cols>
  <sheetData>
    <row r="1" spans="1:6" ht="36.75" customHeight="1">
      <c r="A1" s="722" t="s">
        <v>1671</v>
      </c>
      <c r="B1" s="722"/>
      <c r="C1" s="722"/>
      <c r="D1" s="722"/>
    </row>
    <row r="2" spans="1:6" ht="18.75" customHeight="1">
      <c r="A2" s="369"/>
      <c r="B2" s="369"/>
      <c r="C2" s="369"/>
      <c r="D2" s="371" t="s">
        <v>1672</v>
      </c>
    </row>
    <row r="3" spans="1:6" ht="18.75" customHeight="1" thickBot="1">
      <c r="A3" s="343" t="s">
        <v>1526</v>
      </c>
      <c r="B3" s="369"/>
      <c r="C3" s="370"/>
      <c r="D3" s="371" t="s">
        <v>1569</v>
      </c>
    </row>
    <row r="4" spans="1:6" ht="27" customHeight="1" thickBot="1">
      <c r="A4" s="400" t="s">
        <v>1673</v>
      </c>
      <c r="B4" s="396" t="s">
        <v>1674</v>
      </c>
      <c r="C4" s="401" t="s">
        <v>1528</v>
      </c>
      <c r="D4" s="396" t="s">
        <v>1529</v>
      </c>
    </row>
    <row r="5" spans="1:6" ht="24" customHeight="1">
      <c r="A5" s="374" t="s">
        <v>1675</v>
      </c>
      <c r="B5" s="216">
        <v>1283629638.6900001</v>
      </c>
      <c r="C5" s="256" t="s">
        <v>1676</v>
      </c>
      <c r="D5" s="216">
        <v>1053975788.73</v>
      </c>
    </row>
    <row r="6" spans="1:6" ht="24" customHeight="1">
      <c r="A6" s="244" t="s">
        <v>1532</v>
      </c>
      <c r="B6" s="217">
        <v>399019979.75999999</v>
      </c>
      <c r="C6" s="250" t="s">
        <v>1677</v>
      </c>
      <c r="D6" s="217">
        <v>327303819.80000001</v>
      </c>
    </row>
    <row r="7" spans="1:6" ht="24" customHeight="1">
      <c r="A7" s="244" t="s">
        <v>1609</v>
      </c>
      <c r="B7" s="217"/>
      <c r="C7" s="250" t="s">
        <v>1678</v>
      </c>
      <c r="D7" s="217">
        <v>9011831.5</v>
      </c>
      <c r="F7" s="402"/>
    </row>
    <row r="8" spans="1:6" ht="24" customHeight="1">
      <c r="A8" s="244" t="s">
        <v>1679</v>
      </c>
      <c r="B8" s="217">
        <v>471201.38</v>
      </c>
      <c r="C8" s="250" t="s">
        <v>1680</v>
      </c>
      <c r="D8" s="217">
        <v>19958973</v>
      </c>
    </row>
    <row r="9" spans="1:6" ht="24" customHeight="1">
      <c r="A9" s="244" t="s">
        <v>1681</v>
      </c>
      <c r="B9" s="217">
        <v>471201.38</v>
      </c>
      <c r="C9" s="250" t="s">
        <v>1539</v>
      </c>
      <c r="D9" s="217"/>
    </row>
    <row r="10" spans="1:6" ht="24" customHeight="1">
      <c r="A10" s="244" t="s">
        <v>1543</v>
      </c>
      <c r="B10" s="217"/>
      <c r="C10" s="250" t="s">
        <v>1544</v>
      </c>
      <c r="D10" s="217">
        <v>0</v>
      </c>
    </row>
    <row r="11" spans="1:6" ht="24" customHeight="1">
      <c r="A11" s="244" t="s">
        <v>1545</v>
      </c>
      <c r="B11" s="217">
        <f>SUM(B5:B8)+B10</f>
        <v>1683120819.8300002</v>
      </c>
      <c r="C11" s="250" t="s">
        <v>1546</v>
      </c>
      <c r="D11" s="217">
        <f>D5+D7+D8+D9+D10</f>
        <v>1082946593.23</v>
      </c>
    </row>
    <row r="12" spans="1:6" ht="24" customHeight="1">
      <c r="A12" s="244" t="s">
        <v>1615</v>
      </c>
      <c r="B12" s="217">
        <v>2000000</v>
      </c>
      <c r="C12" s="250" t="s">
        <v>1548</v>
      </c>
      <c r="D12" s="217"/>
    </row>
    <row r="13" spans="1:6" ht="24" customHeight="1">
      <c r="A13" s="244" t="s">
        <v>1549</v>
      </c>
      <c r="B13" s="217"/>
      <c r="C13" s="250" t="s">
        <v>1682</v>
      </c>
      <c r="D13" s="217">
        <v>62501000</v>
      </c>
    </row>
    <row r="14" spans="1:6" ht="24" customHeight="1">
      <c r="A14" s="244" t="s">
        <v>1551</v>
      </c>
      <c r="B14" s="217">
        <f>SUM(B11:B13)</f>
        <v>1685120819.8300002</v>
      </c>
      <c r="C14" s="250" t="s">
        <v>1552</v>
      </c>
      <c r="D14" s="217">
        <f>SUM(D11:D13)</f>
        <v>1145447593.23</v>
      </c>
    </row>
    <row r="15" spans="1:6" ht="24" customHeight="1">
      <c r="A15" s="332" t="s">
        <v>1542</v>
      </c>
      <c r="B15" s="251" t="s">
        <v>1542</v>
      </c>
      <c r="C15" s="250" t="s">
        <v>1553</v>
      </c>
      <c r="D15" s="217">
        <f>B14-D14</f>
        <v>539673226.60000014</v>
      </c>
    </row>
    <row r="16" spans="1:6" ht="24" customHeight="1">
      <c r="A16" s="244" t="s">
        <v>1554</v>
      </c>
      <c r="B16" s="217">
        <v>4615536821.4300003</v>
      </c>
      <c r="C16" s="250" t="s">
        <v>1555</v>
      </c>
      <c r="D16" s="217">
        <f>B16+D15</f>
        <v>5155210048.0300007</v>
      </c>
    </row>
    <row r="17" spans="1:4" ht="24" customHeight="1" thickBot="1">
      <c r="A17" s="247" t="s">
        <v>1683</v>
      </c>
      <c r="B17" s="252">
        <v>1017444367.42</v>
      </c>
      <c r="C17" s="253" t="s">
        <v>1684</v>
      </c>
      <c r="D17" s="254">
        <v>1149487817.4200001</v>
      </c>
    </row>
    <row r="18" spans="1:4" ht="27" customHeight="1" thickBot="1">
      <c r="A18" s="239" t="s">
        <v>1556</v>
      </c>
      <c r="B18" s="378">
        <f>B14+B16</f>
        <v>6300657641.2600002</v>
      </c>
      <c r="C18" s="255" t="s">
        <v>1556</v>
      </c>
      <c r="D18" s="378">
        <f>D14+D16</f>
        <v>6300657641.2600002</v>
      </c>
    </row>
  </sheetData>
  <mergeCells count="1">
    <mergeCell ref="A1:D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orientation="landscape" errors="blank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>
      <selection activeCell="A3" sqref="A1:XFD1048576"/>
    </sheetView>
  </sheetViews>
  <sheetFormatPr defaultRowHeight="14.25" customHeight="1"/>
  <cols>
    <col min="1" max="1" width="37.25" style="368" customWidth="1"/>
    <col min="2" max="2" width="24.5" style="368" customWidth="1"/>
    <col min="3" max="3" width="37.25" style="368" customWidth="1"/>
    <col min="4" max="4" width="24.5" style="368" customWidth="1"/>
    <col min="5" max="256" width="9" style="368"/>
    <col min="257" max="257" width="37.25" style="368" customWidth="1"/>
    <col min="258" max="258" width="24.5" style="368" customWidth="1"/>
    <col min="259" max="259" width="37.25" style="368" customWidth="1"/>
    <col min="260" max="260" width="24.5" style="368" customWidth="1"/>
    <col min="261" max="512" width="9" style="368"/>
    <col min="513" max="513" width="37.25" style="368" customWidth="1"/>
    <col min="514" max="514" width="24.5" style="368" customWidth="1"/>
    <col min="515" max="515" width="37.25" style="368" customWidth="1"/>
    <col min="516" max="516" width="24.5" style="368" customWidth="1"/>
    <col min="517" max="768" width="9" style="368"/>
    <col min="769" max="769" width="37.25" style="368" customWidth="1"/>
    <col min="770" max="770" width="24.5" style="368" customWidth="1"/>
    <col min="771" max="771" width="37.25" style="368" customWidth="1"/>
    <col min="772" max="772" width="24.5" style="368" customWidth="1"/>
    <col min="773" max="1024" width="9" style="368"/>
    <col min="1025" max="1025" width="37.25" style="368" customWidth="1"/>
    <col min="1026" max="1026" width="24.5" style="368" customWidth="1"/>
    <col min="1027" max="1027" width="37.25" style="368" customWidth="1"/>
    <col min="1028" max="1028" width="24.5" style="368" customWidth="1"/>
    <col min="1029" max="1280" width="9" style="368"/>
    <col min="1281" max="1281" width="37.25" style="368" customWidth="1"/>
    <col min="1282" max="1282" width="24.5" style="368" customWidth="1"/>
    <col min="1283" max="1283" width="37.25" style="368" customWidth="1"/>
    <col min="1284" max="1284" width="24.5" style="368" customWidth="1"/>
    <col min="1285" max="1536" width="9" style="368"/>
    <col min="1537" max="1537" width="37.25" style="368" customWidth="1"/>
    <col min="1538" max="1538" width="24.5" style="368" customWidth="1"/>
    <col min="1539" max="1539" width="37.25" style="368" customWidth="1"/>
    <col min="1540" max="1540" width="24.5" style="368" customWidth="1"/>
    <col min="1541" max="1792" width="9" style="368"/>
    <col min="1793" max="1793" width="37.25" style="368" customWidth="1"/>
    <col min="1794" max="1794" width="24.5" style="368" customWidth="1"/>
    <col min="1795" max="1795" width="37.25" style="368" customWidth="1"/>
    <col min="1796" max="1796" width="24.5" style="368" customWidth="1"/>
    <col min="1797" max="2048" width="9" style="368"/>
    <col min="2049" max="2049" width="37.25" style="368" customWidth="1"/>
    <col min="2050" max="2050" width="24.5" style="368" customWidth="1"/>
    <col min="2051" max="2051" width="37.25" style="368" customWidth="1"/>
    <col min="2052" max="2052" width="24.5" style="368" customWidth="1"/>
    <col min="2053" max="2304" width="9" style="368"/>
    <col min="2305" max="2305" width="37.25" style="368" customWidth="1"/>
    <col min="2306" max="2306" width="24.5" style="368" customWidth="1"/>
    <col min="2307" max="2307" width="37.25" style="368" customWidth="1"/>
    <col min="2308" max="2308" width="24.5" style="368" customWidth="1"/>
    <col min="2309" max="2560" width="9" style="368"/>
    <col min="2561" max="2561" width="37.25" style="368" customWidth="1"/>
    <col min="2562" max="2562" width="24.5" style="368" customWidth="1"/>
    <col min="2563" max="2563" width="37.25" style="368" customWidth="1"/>
    <col min="2564" max="2564" width="24.5" style="368" customWidth="1"/>
    <col min="2565" max="2816" width="9" style="368"/>
    <col min="2817" max="2817" width="37.25" style="368" customWidth="1"/>
    <col min="2818" max="2818" width="24.5" style="368" customWidth="1"/>
    <col min="2819" max="2819" width="37.25" style="368" customWidth="1"/>
    <col min="2820" max="2820" width="24.5" style="368" customWidth="1"/>
    <col min="2821" max="3072" width="9" style="368"/>
    <col min="3073" max="3073" width="37.25" style="368" customWidth="1"/>
    <col min="3074" max="3074" width="24.5" style="368" customWidth="1"/>
    <col min="3075" max="3075" width="37.25" style="368" customWidth="1"/>
    <col min="3076" max="3076" width="24.5" style="368" customWidth="1"/>
    <col min="3077" max="3328" width="9" style="368"/>
    <col min="3329" max="3329" width="37.25" style="368" customWidth="1"/>
    <col min="3330" max="3330" width="24.5" style="368" customWidth="1"/>
    <col min="3331" max="3331" width="37.25" style="368" customWidth="1"/>
    <col min="3332" max="3332" width="24.5" style="368" customWidth="1"/>
    <col min="3333" max="3584" width="9" style="368"/>
    <col min="3585" max="3585" width="37.25" style="368" customWidth="1"/>
    <col min="3586" max="3586" width="24.5" style="368" customWidth="1"/>
    <col min="3587" max="3587" width="37.25" style="368" customWidth="1"/>
    <col min="3588" max="3588" width="24.5" style="368" customWidth="1"/>
    <col min="3589" max="3840" width="9" style="368"/>
    <col min="3841" max="3841" width="37.25" style="368" customWidth="1"/>
    <col min="3842" max="3842" width="24.5" style="368" customWidth="1"/>
    <col min="3843" max="3843" width="37.25" style="368" customWidth="1"/>
    <col min="3844" max="3844" width="24.5" style="368" customWidth="1"/>
    <col min="3845" max="4096" width="9" style="368"/>
    <col min="4097" max="4097" width="37.25" style="368" customWidth="1"/>
    <col min="4098" max="4098" width="24.5" style="368" customWidth="1"/>
    <col min="4099" max="4099" width="37.25" style="368" customWidth="1"/>
    <col min="4100" max="4100" width="24.5" style="368" customWidth="1"/>
    <col min="4101" max="4352" width="9" style="368"/>
    <col min="4353" max="4353" width="37.25" style="368" customWidth="1"/>
    <col min="4354" max="4354" width="24.5" style="368" customWidth="1"/>
    <col min="4355" max="4355" width="37.25" style="368" customWidth="1"/>
    <col min="4356" max="4356" width="24.5" style="368" customWidth="1"/>
    <col min="4357" max="4608" width="9" style="368"/>
    <col min="4609" max="4609" width="37.25" style="368" customWidth="1"/>
    <col min="4610" max="4610" width="24.5" style="368" customWidth="1"/>
    <col min="4611" max="4611" width="37.25" style="368" customWidth="1"/>
    <col min="4612" max="4612" width="24.5" style="368" customWidth="1"/>
    <col min="4613" max="4864" width="9" style="368"/>
    <col min="4865" max="4865" width="37.25" style="368" customWidth="1"/>
    <col min="4866" max="4866" width="24.5" style="368" customWidth="1"/>
    <col min="4867" max="4867" width="37.25" style="368" customWidth="1"/>
    <col min="4868" max="4868" width="24.5" style="368" customWidth="1"/>
    <col min="4869" max="5120" width="9" style="368"/>
    <col min="5121" max="5121" width="37.25" style="368" customWidth="1"/>
    <col min="5122" max="5122" width="24.5" style="368" customWidth="1"/>
    <col min="5123" max="5123" width="37.25" style="368" customWidth="1"/>
    <col min="5124" max="5124" width="24.5" style="368" customWidth="1"/>
    <col min="5125" max="5376" width="9" style="368"/>
    <col min="5377" max="5377" width="37.25" style="368" customWidth="1"/>
    <col min="5378" max="5378" width="24.5" style="368" customWidth="1"/>
    <col min="5379" max="5379" width="37.25" style="368" customWidth="1"/>
    <col min="5380" max="5380" width="24.5" style="368" customWidth="1"/>
    <col min="5381" max="5632" width="9" style="368"/>
    <col min="5633" max="5633" width="37.25" style="368" customWidth="1"/>
    <col min="5634" max="5634" width="24.5" style="368" customWidth="1"/>
    <col min="5635" max="5635" width="37.25" style="368" customWidth="1"/>
    <col min="5636" max="5636" width="24.5" style="368" customWidth="1"/>
    <col min="5637" max="5888" width="9" style="368"/>
    <col min="5889" max="5889" width="37.25" style="368" customWidth="1"/>
    <col min="5890" max="5890" width="24.5" style="368" customWidth="1"/>
    <col min="5891" max="5891" width="37.25" style="368" customWidth="1"/>
    <col min="5892" max="5892" width="24.5" style="368" customWidth="1"/>
    <col min="5893" max="6144" width="9" style="368"/>
    <col min="6145" max="6145" width="37.25" style="368" customWidth="1"/>
    <col min="6146" max="6146" width="24.5" style="368" customWidth="1"/>
    <col min="6147" max="6147" width="37.25" style="368" customWidth="1"/>
    <col min="6148" max="6148" width="24.5" style="368" customWidth="1"/>
    <col min="6149" max="6400" width="9" style="368"/>
    <col min="6401" max="6401" width="37.25" style="368" customWidth="1"/>
    <col min="6402" max="6402" width="24.5" style="368" customWidth="1"/>
    <col min="6403" max="6403" width="37.25" style="368" customWidth="1"/>
    <col min="6404" max="6404" width="24.5" style="368" customWidth="1"/>
    <col min="6405" max="6656" width="9" style="368"/>
    <col min="6657" max="6657" width="37.25" style="368" customWidth="1"/>
    <col min="6658" max="6658" width="24.5" style="368" customWidth="1"/>
    <col min="6659" max="6659" width="37.25" style="368" customWidth="1"/>
    <col min="6660" max="6660" width="24.5" style="368" customWidth="1"/>
    <col min="6661" max="6912" width="9" style="368"/>
    <col min="6913" max="6913" width="37.25" style="368" customWidth="1"/>
    <col min="6914" max="6914" width="24.5" style="368" customWidth="1"/>
    <col min="6915" max="6915" width="37.25" style="368" customWidth="1"/>
    <col min="6916" max="6916" width="24.5" style="368" customWidth="1"/>
    <col min="6917" max="7168" width="9" style="368"/>
    <col min="7169" max="7169" width="37.25" style="368" customWidth="1"/>
    <col min="7170" max="7170" width="24.5" style="368" customWidth="1"/>
    <col min="7171" max="7171" width="37.25" style="368" customWidth="1"/>
    <col min="7172" max="7172" width="24.5" style="368" customWidth="1"/>
    <col min="7173" max="7424" width="9" style="368"/>
    <col min="7425" max="7425" width="37.25" style="368" customWidth="1"/>
    <col min="7426" max="7426" width="24.5" style="368" customWidth="1"/>
    <col min="7427" max="7427" width="37.25" style="368" customWidth="1"/>
    <col min="7428" max="7428" width="24.5" style="368" customWidth="1"/>
    <col min="7429" max="7680" width="9" style="368"/>
    <col min="7681" max="7681" width="37.25" style="368" customWidth="1"/>
    <col min="7682" max="7682" width="24.5" style="368" customWidth="1"/>
    <col min="7683" max="7683" width="37.25" style="368" customWidth="1"/>
    <col min="7684" max="7684" width="24.5" style="368" customWidth="1"/>
    <col min="7685" max="7936" width="9" style="368"/>
    <col min="7937" max="7937" width="37.25" style="368" customWidth="1"/>
    <col min="7938" max="7938" width="24.5" style="368" customWidth="1"/>
    <col min="7939" max="7939" width="37.25" style="368" customWidth="1"/>
    <col min="7940" max="7940" width="24.5" style="368" customWidth="1"/>
    <col min="7941" max="8192" width="9" style="368"/>
    <col min="8193" max="8193" width="37.25" style="368" customWidth="1"/>
    <col min="8194" max="8194" width="24.5" style="368" customWidth="1"/>
    <col min="8195" max="8195" width="37.25" style="368" customWidth="1"/>
    <col min="8196" max="8196" width="24.5" style="368" customWidth="1"/>
    <col min="8197" max="8448" width="9" style="368"/>
    <col min="8449" max="8449" width="37.25" style="368" customWidth="1"/>
    <col min="8450" max="8450" width="24.5" style="368" customWidth="1"/>
    <col min="8451" max="8451" width="37.25" style="368" customWidth="1"/>
    <col min="8452" max="8452" width="24.5" style="368" customWidth="1"/>
    <col min="8453" max="8704" width="9" style="368"/>
    <col min="8705" max="8705" width="37.25" style="368" customWidth="1"/>
    <col min="8706" max="8706" width="24.5" style="368" customWidth="1"/>
    <col min="8707" max="8707" width="37.25" style="368" customWidth="1"/>
    <col min="8708" max="8708" width="24.5" style="368" customWidth="1"/>
    <col min="8709" max="8960" width="9" style="368"/>
    <col min="8961" max="8961" width="37.25" style="368" customWidth="1"/>
    <col min="8962" max="8962" width="24.5" style="368" customWidth="1"/>
    <col min="8963" max="8963" width="37.25" style="368" customWidth="1"/>
    <col min="8964" max="8964" width="24.5" style="368" customWidth="1"/>
    <col min="8965" max="9216" width="9" style="368"/>
    <col min="9217" max="9217" width="37.25" style="368" customWidth="1"/>
    <col min="9218" max="9218" width="24.5" style="368" customWidth="1"/>
    <col min="9219" max="9219" width="37.25" style="368" customWidth="1"/>
    <col min="9220" max="9220" width="24.5" style="368" customWidth="1"/>
    <col min="9221" max="9472" width="9" style="368"/>
    <col min="9473" max="9473" width="37.25" style="368" customWidth="1"/>
    <col min="9474" max="9474" width="24.5" style="368" customWidth="1"/>
    <col min="9475" max="9475" width="37.25" style="368" customWidth="1"/>
    <col min="9476" max="9476" width="24.5" style="368" customWidth="1"/>
    <col min="9477" max="9728" width="9" style="368"/>
    <col min="9729" max="9729" width="37.25" style="368" customWidth="1"/>
    <col min="9730" max="9730" width="24.5" style="368" customWidth="1"/>
    <col min="9731" max="9731" width="37.25" style="368" customWidth="1"/>
    <col min="9732" max="9732" width="24.5" style="368" customWidth="1"/>
    <col min="9733" max="9984" width="9" style="368"/>
    <col min="9985" max="9985" width="37.25" style="368" customWidth="1"/>
    <col min="9986" max="9986" width="24.5" style="368" customWidth="1"/>
    <col min="9987" max="9987" width="37.25" style="368" customWidth="1"/>
    <col min="9988" max="9988" width="24.5" style="368" customWidth="1"/>
    <col min="9989" max="10240" width="9" style="368"/>
    <col min="10241" max="10241" width="37.25" style="368" customWidth="1"/>
    <col min="10242" max="10242" width="24.5" style="368" customWidth="1"/>
    <col min="10243" max="10243" width="37.25" style="368" customWidth="1"/>
    <col min="10244" max="10244" width="24.5" style="368" customWidth="1"/>
    <col min="10245" max="10496" width="9" style="368"/>
    <col min="10497" max="10497" width="37.25" style="368" customWidth="1"/>
    <col min="10498" max="10498" width="24.5" style="368" customWidth="1"/>
    <col min="10499" max="10499" width="37.25" style="368" customWidth="1"/>
    <col min="10500" max="10500" width="24.5" style="368" customWidth="1"/>
    <col min="10501" max="10752" width="9" style="368"/>
    <col min="10753" max="10753" width="37.25" style="368" customWidth="1"/>
    <col min="10754" max="10754" width="24.5" style="368" customWidth="1"/>
    <col min="10755" max="10755" width="37.25" style="368" customWidth="1"/>
    <col min="10756" max="10756" width="24.5" style="368" customWidth="1"/>
    <col min="10757" max="11008" width="9" style="368"/>
    <col min="11009" max="11009" width="37.25" style="368" customWidth="1"/>
    <col min="11010" max="11010" width="24.5" style="368" customWidth="1"/>
    <col min="11011" max="11011" width="37.25" style="368" customWidth="1"/>
    <col min="11012" max="11012" width="24.5" style="368" customWidth="1"/>
    <col min="11013" max="11264" width="9" style="368"/>
    <col min="11265" max="11265" width="37.25" style="368" customWidth="1"/>
    <col min="11266" max="11266" width="24.5" style="368" customWidth="1"/>
    <col min="11267" max="11267" width="37.25" style="368" customWidth="1"/>
    <col min="11268" max="11268" width="24.5" style="368" customWidth="1"/>
    <col min="11269" max="11520" width="9" style="368"/>
    <col min="11521" max="11521" width="37.25" style="368" customWidth="1"/>
    <col min="11522" max="11522" width="24.5" style="368" customWidth="1"/>
    <col min="11523" max="11523" width="37.25" style="368" customWidth="1"/>
    <col min="11524" max="11524" width="24.5" style="368" customWidth="1"/>
    <col min="11525" max="11776" width="9" style="368"/>
    <col min="11777" max="11777" width="37.25" style="368" customWidth="1"/>
    <col min="11778" max="11778" width="24.5" style="368" customWidth="1"/>
    <col min="11779" max="11779" width="37.25" style="368" customWidth="1"/>
    <col min="11780" max="11780" width="24.5" style="368" customWidth="1"/>
    <col min="11781" max="12032" width="9" style="368"/>
    <col min="12033" max="12033" width="37.25" style="368" customWidth="1"/>
    <col min="12034" max="12034" width="24.5" style="368" customWidth="1"/>
    <col min="12035" max="12035" width="37.25" style="368" customWidth="1"/>
    <col min="12036" max="12036" width="24.5" style="368" customWidth="1"/>
    <col min="12037" max="12288" width="9" style="368"/>
    <col min="12289" max="12289" width="37.25" style="368" customWidth="1"/>
    <col min="12290" max="12290" width="24.5" style="368" customWidth="1"/>
    <col min="12291" max="12291" width="37.25" style="368" customWidth="1"/>
    <col min="12292" max="12292" width="24.5" style="368" customWidth="1"/>
    <col min="12293" max="12544" width="9" style="368"/>
    <col min="12545" max="12545" width="37.25" style="368" customWidth="1"/>
    <col min="12546" max="12546" width="24.5" style="368" customWidth="1"/>
    <col min="12547" max="12547" width="37.25" style="368" customWidth="1"/>
    <col min="12548" max="12548" width="24.5" style="368" customWidth="1"/>
    <col min="12549" max="12800" width="9" style="368"/>
    <col min="12801" max="12801" width="37.25" style="368" customWidth="1"/>
    <col min="12802" max="12802" width="24.5" style="368" customWidth="1"/>
    <col min="12803" max="12803" width="37.25" style="368" customWidth="1"/>
    <col min="12804" max="12804" width="24.5" style="368" customWidth="1"/>
    <col min="12805" max="13056" width="9" style="368"/>
    <col min="13057" max="13057" width="37.25" style="368" customWidth="1"/>
    <col min="13058" max="13058" width="24.5" style="368" customWidth="1"/>
    <col min="13059" max="13059" width="37.25" style="368" customWidth="1"/>
    <col min="13060" max="13060" width="24.5" style="368" customWidth="1"/>
    <col min="13061" max="13312" width="9" style="368"/>
    <col min="13313" max="13313" width="37.25" style="368" customWidth="1"/>
    <col min="13314" max="13314" width="24.5" style="368" customWidth="1"/>
    <col min="13315" max="13315" width="37.25" style="368" customWidth="1"/>
    <col min="13316" max="13316" width="24.5" style="368" customWidth="1"/>
    <col min="13317" max="13568" width="9" style="368"/>
    <col min="13569" max="13569" width="37.25" style="368" customWidth="1"/>
    <col min="13570" max="13570" width="24.5" style="368" customWidth="1"/>
    <col min="13571" max="13571" width="37.25" style="368" customWidth="1"/>
    <col min="13572" max="13572" width="24.5" style="368" customWidth="1"/>
    <col min="13573" max="13824" width="9" style="368"/>
    <col min="13825" max="13825" width="37.25" style="368" customWidth="1"/>
    <col min="13826" max="13826" width="24.5" style="368" customWidth="1"/>
    <col min="13827" max="13827" width="37.25" style="368" customWidth="1"/>
    <col min="13828" max="13828" width="24.5" style="368" customWidth="1"/>
    <col min="13829" max="14080" width="9" style="368"/>
    <col min="14081" max="14081" width="37.25" style="368" customWidth="1"/>
    <col min="14082" max="14082" width="24.5" style="368" customWidth="1"/>
    <col min="14083" max="14083" width="37.25" style="368" customWidth="1"/>
    <col min="14084" max="14084" width="24.5" style="368" customWidth="1"/>
    <col min="14085" max="14336" width="9" style="368"/>
    <col min="14337" max="14337" width="37.25" style="368" customWidth="1"/>
    <col min="14338" max="14338" width="24.5" style="368" customWidth="1"/>
    <col min="14339" max="14339" width="37.25" style="368" customWidth="1"/>
    <col min="14340" max="14340" width="24.5" style="368" customWidth="1"/>
    <col min="14341" max="14592" width="9" style="368"/>
    <col min="14593" max="14593" width="37.25" style="368" customWidth="1"/>
    <col min="14594" max="14594" width="24.5" style="368" customWidth="1"/>
    <col min="14595" max="14595" width="37.25" style="368" customWidth="1"/>
    <col min="14596" max="14596" width="24.5" style="368" customWidth="1"/>
    <col min="14597" max="14848" width="9" style="368"/>
    <col min="14849" max="14849" width="37.25" style="368" customWidth="1"/>
    <col min="14850" max="14850" width="24.5" style="368" customWidth="1"/>
    <col min="14851" max="14851" width="37.25" style="368" customWidth="1"/>
    <col min="14852" max="14852" width="24.5" style="368" customWidth="1"/>
    <col min="14853" max="15104" width="9" style="368"/>
    <col min="15105" max="15105" width="37.25" style="368" customWidth="1"/>
    <col min="15106" max="15106" width="24.5" style="368" customWidth="1"/>
    <col min="15107" max="15107" width="37.25" style="368" customWidth="1"/>
    <col min="15108" max="15108" width="24.5" style="368" customWidth="1"/>
    <col min="15109" max="15360" width="9" style="368"/>
    <col min="15361" max="15361" width="37.25" style="368" customWidth="1"/>
    <col min="15362" max="15362" width="24.5" style="368" customWidth="1"/>
    <col min="15363" max="15363" width="37.25" style="368" customWidth="1"/>
    <col min="15364" max="15364" width="24.5" style="368" customWidth="1"/>
    <col min="15365" max="15616" width="9" style="368"/>
    <col min="15617" max="15617" width="37.25" style="368" customWidth="1"/>
    <col min="15618" max="15618" width="24.5" style="368" customWidth="1"/>
    <col min="15619" max="15619" width="37.25" style="368" customWidth="1"/>
    <col min="15620" max="15620" width="24.5" style="368" customWidth="1"/>
    <col min="15621" max="15872" width="9" style="368"/>
    <col min="15873" max="15873" width="37.25" style="368" customWidth="1"/>
    <col min="15874" max="15874" width="24.5" style="368" customWidth="1"/>
    <col min="15875" max="15875" width="37.25" style="368" customWidth="1"/>
    <col min="15876" max="15876" width="24.5" style="368" customWidth="1"/>
    <col min="15877" max="16128" width="9" style="368"/>
    <col min="16129" max="16129" width="37.25" style="368" customWidth="1"/>
    <col min="16130" max="16130" width="24.5" style="368" customWidth="1"/>
    <col min="16131" max="16131" width="37.25" style="368" customWidth="1"/>
    <col min="16132" max="16132" width="24.5" style="368" customWidth="1"/>
    <col min="16133" max="16384" width="9" style="368"/>
  </cols>
  <sheetData>
    <row r="1" spans="1:4" ht="36.75" customHeight="1">
      <c r="A1" s="722" t="s">
        <v>1685</v>
      </c>
      <c r="B1" s="722"/>
      <c r="C1" s="722"/>
      <c r="D1" s="722"/>
    </row>
    <row r="2" spans="1:4" ht="18.75" customHeight="1">
      <c r="A2" s="369"/>
      <c r="B2" s="369"/>
      <c r="C2" s="369"/>
      <c r="D2" s="371" t="s">
        <v>1686</v>
      </c>
    </row>
    <row r="3" spans="1:4" ht="18.75" customHeight="1" thickBot="1">
      <c r="A3" s="343" t="s">
        <v>1526</v>
      </c>
      <c r="B3" s="369"/>
      <c r="C3" s="370"/>
      <c r="D3" s="371" t="s">
        <v>1569</v>
      </c>
    </row>
    <row r="4" spans="1:4" ht="24" customHeight="1" thickBot="1">
      <c r="A4" s="400" t="s">
        <v>1673</v>
      </c>
      <c r="B4" s="396" t="s">
        <v>1674</v>
      </c>
      <c r="C4" s="401" t="s">
        <v>1528</v>
      </c>
      <c r="D4" s="396" t="s">
        <v>1529</v>
      </c>
    </row>
    <row r="5" spans="1:4" ht="19.5" customHeight="1">
      <c r="A5" s="374" t="s">
        <v>1687</v>
      </c>
      <c r="B5" s="216">
        <v>5762745596.7399998</v>
      </c>
      <c r="C5" s="256" t="s">
        <v>1688</v>
      </c>
      <c r="D5" s="216">
        <v>278794511.60000002</v>
      </c>
    </row>
    <row r="6" spans="1:4" ht="19.5" customHeight="1">
      <c r="A6" s="244" t="s">
        <v>1532</v>
      </c>
      <c r="B6" s="217">
        <v>176345693.09999999</v>
      </c>
      <c r="C6" s="250" t="s">
        <v>1535</v>
      </c>
      <c r="D6" s="217">
        <v>9932261.3100000005</v>
      </c>
    </row>
    <row r="7" spans="1:4" ht="19.5" customHeight="1">
      <c r="A7" s="244" t="s">
        <v>1609</v>
      </c>
      <c r="B7" s="217"/>
      <c r="C7" s="250" t="s">
        <v>1537</v>
      </c>
      <c r="D7" s="217"/>
    </row>
    <row r="8" spans="1:4" ht="19.5" customHeight="1">
      <c r="A8" s="244" t="s">
        <v>1679</v>
      </c>
      <c r="B8" s="217">
        <v>3096451.31</v>
      </c>
      <c r="C8" s="250" t="s">
        <v>1689</v>
      </c>
      <c r="D8" s="257">
        <v>3582860</v>
      </c>
    </row>
    <row r="9" spans="1:4" ht="19.5" customHeight="1">
      <c r="A9" s="244" t="s">
        <v>1681</v>
      </c>
      <c r="B9" s="217">
        <v>3096451.31</v>
      </c>
      <c r="C9" s="250" t="s">
        <v>1690</v>
      </c>
      <c r="D9" s="217">
        <v>1199300</v>
      </c>
    </row>
    <row r="10" spans="1:4" ht="19.5" customHeight="1">
      <c r="A10" s="332" t="s">
        <v>1542</v>
      </c>
      <c r="B10" s="258" t="s">
        <v>1542</v>
      </c>
      <c r="C10" s="250" t="s">
        <v>1691</v>
      </c>
      <c r="D10" s="217"/>
    </row>
    <row r="11" spans="1:4" ht="19.5" customHeight="1">
      <c r="A11" s="332" t="s">
        <v>1542</v>
      </c>
      <c r="B11" s="258" t="s">
        <v>1542</v>
      </c>
      <c r="C11" s="250" t="s">
        <v>1692</v>
      </c>
      <c r="D11" s="217">
        <v>192181365.24000001</v>
      </c>
    </row>
    <row r="12" spans="1:4" ht="19.5" customHeight="1">
      <c r="A12" s="332" t="s">
        <v>1542</v>
      </c>
      <c r="B12" s="258" t="s">
        <v>1542</v>
      </c>
      <c r="C12" s="250" t="s">
        <v>1693</v>
      </c>
      <c r="D12" s="217"/>
    </row>
    <row r="13" spans="1:4" ht="19.5" customHeight="1">
      <c r="A13" s="244" t="s">
        <v>1543</v>
      </c>
      <c r="B13" s="217"/>
      <c r="C13" s="250" t="s">
        <v>1694</v>
      </c>
      <c r="D13" s="217"/>
    </row>
    <row r="14" spans="1:4" ht="19.5" customHeight="1">
      <c r="A14" s="244" t="s">
        <v>1545</v>
      </c>
      <c r="B14" s="217">
        <f>SUM(B5:B8)+B13</f>
        <v>5942187741.1500006</v>
      </c>
      <c r="C14" s="250" t="s">
        <v>1695</v>
      </c>
      <c r="D14" s="217">
        <f>SUM(D5:D13)</f>
        <v>485690298.15000004</v>
      </c>
    </row>
    <row r="15" spans="1:4" ht="19.5" customHeight="1">
      <c r="A15" s="244" t="s">
        <v>1615</v>
      </c>
      <c r="B15" s="217">
        <v>1000000</v>
      </c>
      <c r="C15" s="250" t="s">
        <v>1696</v>
      </c>
      <c r="D15" s="217"/>
    </row>
    <row r="16" spans="1:4" ht="19.5" customHeight="1">
      <c r="A16" s="244" t="s">
        <v>1549</v>
      </c>
      <c r="B16" s="217"/>
      <c r="C16" s="250" t="s">
        <v>1697</v>
      </c>
      <c r="D16" s="217">
        <v>160077900</v>
      </c>
    </row>
    <row r="17" spans="1:4" ht="19.5" customHeight="1">
      <c r="A17" s="244" t="s">
        <v>1551</v>
      </c>
      <c r="B17" s="217">
        <f>SUM(B14:B16)</f>
        <v>5943187741.1500006</v>
      </c>
      <c r="C17" s="250" t="s">
        <v>1698</v>
      </c>
      <c r="D17" s="217">
        <f>SUM(D14:D16)</f>
        <v>645768198.1500001</v>
      </c>
    </row>
    <row r="18" spans="1:4" ht="19.5" customHeight="1">
      <c r="A18" s="332" t="s">
        <v>1542</v>
      </c>
      <c r="B18" s="258" t="s">
        <v>1542</v>
      </c>
      <c r="C18" s="250" t="s">
        <v>1699</v>
      </c>
      <c r="D18" s="217">
        <f>B17-D17</f>
        <v>5297419543</v>
      </c>
    </row>
    <row r="19" spans="1:4" ht="19.5" customHeight="1">
      <c r="A19" s="332" t="s">
        <v>1542</v>
      </c>
      <c r="B19" s="258" t="s">
        <v>1542</v>
      </c>
      <c r="C19" s="250" t="s">
        <v>1700</v>
      </c>
      <c r="D19" s="217"/>
    </row>
    <row r="20" spans="1:4" ht="19.5" customHeight="1" thickBot="1">
      <c r="A20" s="247" t="s">
        <v>1701</v>
      </c>
      <c r="B20" s="217">
        <v>11844467998.299999</v>
      </c>
      <c r="C20" s="253" t="s">
        <v>1702</v>
      </c>
      <c r="D20" s="252">
        <f>B20+D18</f>
        <v>17141887541.299999</v>
      </c>
    </row>
    <row r="21" spans="1:4" ht="24" customHeight="1" thickBot="1">
      <c r="A21" s="239" t="s">
        <v>1556</v>
      </c>
      <c r="B21" s="378">
        <f>B17+B20</f>
        <v>17787655739.450001</v>
      </c>
      <c r="C21" s="255" t="s">
        <v>1556</v>
      </c>
      <c r="D21" s="378">
        <f>D17+D20</f>
        <v>17787655739.450001</v>
      </c>
    </row>
  </sheetData>
  <mergeCells count="1">
    <mergeCell ref="A1:D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orientation="landscape" errors="blank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8"/>
  <sheetViews>
    <sheetView showZeros="0" topLeftCell="D1" workbookViewId="0">
      <pane ySplit="3" topLeftCell="A1398" activePane="bottomLeft" state="frozen"/>
      <selection activeCell="A209" sqref="A209"/>
      <selection pane="bottomLeft" activeCell="I1408" sqref="I1408"/>
    </sheetView>
  </sheetViews>
  <sheetFormatPr defaultRowHeight="14.25"/>
  <cols>
    <col min="1" max="1" width="21.625" style="63" customWidth="1"/>
    <col min="2" max="2" width="12.75" style="139" bestFit="1" customWidth="1"/>
    <col min="3" max="3" width="13.25" style="139" customWidth="1"/>
    <col min="4" max="4" width="11.875" style="68" customWidth="1"/>
    <col min="5" max="5" width="10.625" style="75" customWidth="1"/>
    <col min="6" max="6" width="12" style="75" customWidth="1"/>
    <col min="7" max="7" width="10.625" style="75" customWidth="1"/>
    <col min="8" max="8" width="10.625" style="75" hidden="1" customWidth="1"/>
    <col min="9" max="9" width="34.5" style="63" customWidth="1"/>
    <col min="10" max="10" width="11.75" style="68" customWidth="1"/>
    <col min="11" max="11" width="13.875" style="68" customWidth="1"/>
    <col min="12" max="12" width="12.25" style="68" customWidth="1"/>
    <col min="13" max="13" width="9.5" style="75" customWidth="1"/>
    <col min="14" max="14" width="11.75" style="75" customWidth="1"/>
    <col min="15" max="15" width="10.125" style="75" customWidth="1"/>
    <col min="16" max="16" width="16.875" style="75" hidden="1" customWidth="1"/>
    <col min="17" max="19" width="10.625" style="63" hidden="1" customWidth="1"/>
    <col min="20" max="20" width="14.75" style="63" hidden="1" customWidth="1"/>
    <col min="21" max="21" width="0" style="63" hidden="1" customWidth="1"/>
    <col min="22" max="16384" width="9" style="63"/>
  </cols>
  <sheetData>
    <row r="1" spans="1:21" ht="42" customHeight="1">
      <c r="A1" s="676" t="s">
        <v>1269</v>
      </c>
      <c r="B1" s="677"/>
      <c r="C1" s="677"/>
      <c r="D1" s="677"/>
      <c r="E1" s="676"/>
      <c r="F1" s="676"/>
      <c r="G1" s="676"/>
      <c r="H1" s="676"/>
      <c r="I1" s="676"/>
      <c r="J1" s="677"/>
      <c r="K1" s="677"/>
      <c r="L1" s="677"/>
      <c r="M1" s="676"/>
      <c r="N1" s="676"/>
      <c r="O1" s="676"/>
      <c r="P1" s="62"/>
    </row>
    <row r="2" spans="1:21" ht="14.25" customHeight="1">
      <c r="A2" s="64"/>
      <c r="B2" s="65"/>
      <c r="C2" s="65"/>
      <c r="D2" s="66"/>
      <c r="E2" s="67"/>
      <c r="F2" s="67"/>
      <c r="G2" s="67"/>
      <c r="H2" s="67"/>
      <c r="I2" s="64"/>
      <c r="L2" s="69"/>
      <c r="M2" s="70"/>
      <c r="N2" s="70"/>
      <c r="O2" s="69" t="s">
        <v>1103</v>
      </c>
      <c r="P2" s="71"/>
    </row>
    <row r="3" spans="1:21" ht="37.9" customHeight="1">
      <c r="A3" s="72" t="s">
        <v>923</v>
      </c>
      <c r="B3" s="73" t="s">
        <v>1264</v>
      </c>
      <c r="C3" s="73" t="s">
        <v>1265</v>
      </c>
      <c r="D3" s="73" t="s">
        <v>1266</v>
      </c>
      <c r="E3" s="73" t="s">
        <v>1096</v>
      </c>
      <c r="F3" s="74" t="s">
        <v>922</v>
      </c>
      <c r="G3" s="73" t="s">
        <v>1267</v>
      </c>
      <c r="H3" s="73" t="s">
        <v>1099</v>
      </c>
      <c r="I3" s="72" t="s">
        <v>924</v>
      </c>
      <c r="J3" s="73" t="s">
        <v>1264</v>
      </c>
      <c r="K3" s="73" t="s">
        <v>1265</v>
      </c>
      <c r="L3" s="73" t="s">
        <v>1266</v>
      </c>
      <c r="M3" s="73" t="s">
        <v>1096</v>
      </c>
      <c r="N3" s="74" t="s">
        <v>922</v>
      </c>
      <c r="O3" s="73" t="s">
        <v>1267</v>
      </c>
    </row>
    <row r="4" spans="1:21" s="85" customFormat="1" ht="18" customHeight="1">
      <c r="A4" s="76" t="s">
        <v>1414</v>
      </c>
      <c r="B4" s="77">
        <v>11640000</v>
      </c>
      <c r="C4" s="77">
        <v>11640000</v>
      </c>
      <c r="D4" s="77">
        <v>13735615</v>
      </c>
      <c r="E4" s="78">
        <f>+D4/C4</f>
        <v>1.1800356529209621</v>
      </c>
      <c r="F4" s="79">
        <f>SUM(F5:F15)</f>
        <v>10221485</v>
      </c>
      <c r="G4" s="78">
        <f>+D4/F4-1</f>
        <v>0.34379838154632125</v>
      </c>
      <c r="H4" s="80">
        <v>201</v>
      </c>
      <c r="I4" s="80" t="s">
        <v>1108</v>
      </c>
      <c r="J4" s="81">
        <v>812465</v>
      </c>
      <c r="K4" s="656">
        <v>773745</v>
      </c>
      <c r="L4" s="77">
        <v>753452</v>
      </c>
      <c r="M4" s="82">
        <f>+L4/K4</f>
        <v>0.97377301307278241</v>
      </c>
      <c r="N4" s="83">
        <v>597328</v>
      </c>
      <c r="O4" s="82">
        <f>+L4/N4-1</f>
        <v>0.26137063723783238</v>
      </c>
      <c r="P4" s="84" t="s">
        <v>1010</v>
      </c>
      <c r="Q4" s="85" t="s">
        <v>1011</v>
      </c>
      <c r="R4" s="85" t="s">
        <v>1049</v>
      </c>
      <c r="S4" s="85" t="s">
        <v>1050</v>
      </c>
    </row>
    <row r="5" spans="1:21" ht="18" customHeight="1">
      <c r="A5" s="86" t="s">
        <v>1415</v>
      </c>
      <c r="B5" s="87">
        <v>1900000</v>
      </c>
      <c r="C5" s="87">
        <v>1900000</v>
      </c>
      <c r="D5" s="87">
        <v>1788297</v>
      </c>
      <c r="E5" s="88">
        <f>+D5/C5</f>
        <v>0.94120894736842109</v>
      </c>
      <c r="F5" s="89">
        <v>1653998</v>
      </c>
      <c r="G5" s="88">
        <f t="shared" ref="G5:G22" si="0">+D5/F5-1</f>
        <v>8.1196591531549567E-2</v>
      </c>
      <c r="H5" s="90">
        <v>20101</v>
      </c>
      <c r="I5" s="80" t="s">
        <v>1109</v>
      </c>
      <c r="J5" s="91">
        <v>4608</v>
      </c>
      <c r="K5" s="647">
        <v>5161</v>
      </c>
      <c r="L5" s="87">
        <v>5161</v>
      </c>
      <c r="M5" s="92">
        <f>+IF(ISERROR(L5/K5),"",L5/K5)</f>
        <v>1</v>
      </c>
      <c r="N5" s="89">
        <v>4568</v>
      </c>
      <c r="O5" s="92">
        <f>IF(ISERROR(L5/N5-1),"",(L5/N5-1))</f>
        <v>0.12981611208406307</v>
      </c>
    </row>
    <row r="6" spans="1:21" ht="18" customHeight="1">
      <c r="A6" s="86" t="s">
        <v>1416</v>
      </c>
      <c r="B6" s="87">
        <v>3880000</v>
      </c>
      <c r="C6" s="87">
        <v>3880000</v>
      </c>
      <c r="D6" s="87">
        <v>4973677</v>
      </c>
      <c r="E6" s="88">
        <f t="shared" ref="E6:E22" si="1">+D6/C6</f>
        <v>1.2818755154639174</v>
      </c>
      <c r="F6" s="93">
        <v>3452022</v>
      </c>
      <c r="G6" s="88">
        <f t="shared" si="0"/>
        <v>0.44080107253082401</v>
      </c>
      <c r="H6" s="90">
        <v>2010101</v>
      </c>
      <c r="I6" s="90" t="s">
        <v>1110</v>
      </c>
      <c r="J6" s="91">
        <v>2698</v>
      </c>
      <c r="K6" s="91"/>
      <c r="L6" s="87">
        <v>3121</v>
      </c>
      <c r="M6" s="92" t="str">
        <f t="shared" ref="M6:M69" si="2">+IF(ISERROR(L6/K6),"",L6/K6)</f>
        <v/>
      </c>
      <c r="N6" s="89">
        <v>2351</v>
      </c>
      <c r="O6" s="92">
        <f>IF(ISERROR(L6/N6-1),"",(L6/N6-1))</f>
        <v>0.32752020416843886</v>
      </c>
    </row>
    <row r="7" spans="1:21" ht="18" customHeight="1">
      <c r="A7" s="86" t="s">
        <v>1417</v>
      </c>
      <c r="B7" s="87">
        <v>2750000</v>
      </c>
      <c r="C7" s="87">
        <v>2750000</v>
      </c>
      <c r="D7" s="87">
        <v>3235892</v>
      </c>
      <c r="E7" s="88">
        <f t="shared" si="1"/>
        <v>1.176688</v>
      </c>
      <c r="F7" s="93">
        <v>2371000</v>
      </c>
      <c r="G7" s="88">
        <f t="shared" si="0"/>
        <v>0.36477941796710245</v>
      </c>
      <c r="H7" s="90">
        <v>2010102</v>
      </c>
      <c r="I7" s="90" t="s">
        <v>1111</v>
      </c>
      <c r="J7" s="91">
        <v>0</v>
      </c>
      <c r="K7" s="91"/>
      <c r="L7" s="87">
        <v>0</v>
      </c>
      <c r="M7" s="92" t="str">
        <f t="shared" si="2"/>
        <v/>
      </c>
      <c r="N7" s="89">
        <v>10</v>
      </c>
      <c r="O7" s="92">
        <f t="shared" ref="O7:O70" si="3">IF(ISERROR(L7/N7-1),"",(L7/N7-1))</f>
        <v>-1</v>
      </c>
      <c r="P7" s="75" t="s">
        <v>1012</v>
      </c>
      <c r="Q7" s="63">
        <v>11281600</v>
      </c>
      <c r="R7" s="63">
        <v>13143257</v>
      </c>
      <c r="S7" s="63">
        <v>12666435</v>
      </c>
      <c r="T7" s="95" t="s">
        <v>1012</v>
      </c>
      <c r="U7" s="63">
        <v>9393365</v>
      </c>
    </row>
    <row r="8" spans="1:21" ht="18" customHeight="1">
      <c r="A8" s="86" t="s">
        <v>1418</v>
      </c>
      <c r="B8" s="87">
        <v>1120000</v>
      </c>
      <c r="C8" s="87">
        <v>1120000</v>
      </c>
      <c r="D8" s="87">
        <v>1326627</v>
      </c>
      <c r="E8" s="88">
        <f t="shared" si="1"/>
        <v>1.1844883928571428</v>
      </c>
      <c r="F8" s="93">
        <v>994201</v>
      </c>
      <c r="G8" s="88">
        <f t="shared" si="0"/>
        <v>0.33436498253371294</v>
      </c>
      <c r="H8" s="90">
        <v>2010103</v>
      </c>
      <c r="I8" s="90" t="s">
        <v>1112</v>
      </c>
      <c r="J8" s="91">
        <v>150</v>
      </c>
      <c r="K8" s="91"/>
      <c r="L8" s="87">
        <v>150</v>
      </c>
      <c r="M8" s="92" t="str">
        <f t="shared" si="2"/>
        <v/>
      </c>
      <c r="N8" s="89">
        <v>220</v>
      </c>
      <c r="O8" s="92">
        <f t="shared" si="3"/>
        <v>-0.31818181818181823</v>
      </c>
      <c r="P8" s="75" t="s">
        <v>1108</v>
      </c>
      <c r="Q8" s="63">
        <v>568483</v>
      </c>
      <c r="R8" s="63">
        <v>601524</v>
      </c>
      <c r="S8" s="63">
        <v>597328</v>
      </c>
      <c r="T8" s="96" t="s">
        <v>1051</v>
      </c>
      <c r="U8" s="63">
        <v>565547</v>
      </c>
    </row>
    <row r="9" spans="1:21" ht="18" customHeight="1">
      <c r="A9" s="86" t="s">
        <v>1419</v>
      </c>
      <c r="B9" s="94"/>
      <c r="C9" s="87">
        <v>0</v>
      </c>
      <c r="D9" s="87">
        <v>-197</v>
      </c>
      <c r="E9" s="88"/>
      <c r="F9" s="93">
        <v>-163</v>
      </c>
      <c r="G9" s="88">
        <f t="shared" si="0"/>
        <v>0.20858895705521463</v>
      </c>
      <c r="H9" s="90">
        <v>2010104</v>
      </c>
      <c r="I9" s="90" t="s">
        <v>1113</v>
      </c>
      <c r="J9" s="91">
        <v>314</v>
      </c>
      <c r="K9" s="91"/>
      <c r="L9" s="87">
        <v>321</v>
      </c>
      <c r="M9" s="92" t="str">
        <f t="shared" si="2"/>
        <v/>
      </c>
      <c r="N9" s="89">
        <v>290</v>
      </c>
      <c r="O9" s="92">
        <f t="shared" si="3"/>
        <v>0.10689655172413803</v>
      </c>
      <c r="P9" s="75" t="s">
        <v>1109</v>
      </c>
      <c r="Q9" s="63">
        <v>4484</v>
      </c>
      <c r="R9" s="63">
        <v>4568</v>
      </c>
      <c r="S9" s="63">
        <v>4568</v>
      </c>
      <c r="T9" s="97" t="s">
        <v>1109</v>
      </c>
      <c r="U9" s="63">
        <v>4401</v>
      </c>
    </row>
    <row r="10" spans="1:21" ht="18" customHeight="1">
      <c r="A10" s="86" t="s">
        <v>1420</v>
      </c>
      <c r="B10" s="87">
        <v>250000</v>
      </c>
      <c r="C10" s="87">
        <v>250000</v>
      </c>
      <c r="D10" s="87">
        <v>271608</v>
      </c>
      <c r="E10" s="88">
        <f t="shared" si="1"/>
        <v>1.0864320000000001</v>
      </c>
      <c r="F10" s="93">
        <v>234252</v>
      </c>
      <c r="G10" s="88">
        <f t="shared" si="0"/>
        <v>0.15946928948312067</v>
      </c>
      <c r="H10" s="90">
        <v>2010105</v>
      </c>
      <c r="I10" s="90" t="s">
        <v>1114</v>
      </c>
      <c r="J10" s="91">
        <v>274</v>
      </c>
      <c r="K10" s="91"/>
      <c r="L10" s="87">
        <v>177</v>
      </c>
      <c r="M10" s="92" t="str">
        <f t="shared" si="2"/>
        <v/>
      </c>
      <c r="N10" s="89">
        <v>187</v>
      </c>
      <c r="O10" s="92">
        <f t="shared" si="3"/>
        <v>-5.3475935828876997E-2</v>
      </c>
      <c r="P10" s="75" t="s">
        <v>1121</v>
      </c>
      <c r="Q10" s="63">
        <v>3997</v>
      </c>
      <c r="R10" s="63">
        <v>3402</v>
      </c>
      <c r="S10" s="63">
        <v>3402</v>
      </c>
      <c r="T10" s="97" t="s">
        <v>1121</v>
      </c>
      <c r="U10" s="63">
        <v>3411</v>
      </c>
    </row>
    <row r="11" spans="1:21" ht="18" customHeight="1">
      <c r="A11" s="86" t="s">
        <v>1421</v>
      </c>
      <c r="B11" s="87">
        <v>130000</v>
      </c>
      <c r="C11" s="87">
        <v>130000</v>
      </c>
      <c r="D11" s="87">
        <v>363011</v>
      </c>
      <c r="E11" s="88">
        <f t="shared" si="1"/>
        <v>2.7923923076923076</v>
      </c>
      <c r="F11" s="93">
        <v>103702</v>
      </c>
      <c r="G11" s="88">
        <f t="shared" si="0"/>
        <v>2.5005207228404465</v>
      </c>
      <c r="H11" s="90">
        <v>2010106</v>
      </c>
      <c r="I11" s="90" t="s">
        <v>1115</v>
      </c>
      <c r="J11" s="91">
        <v>224</v>
      </c>
      <c r="K11" s="91"/>
      <c r="L11" s="87">
        <v>217</v>
      </c>
      <c r="M11" s="92" t="str">
        <f t="shared" si="2"/>
        <v/>
      </c>
      <c r="N11" s="89">
        <v>106</v>
      </c>
      <c r="O11" s="92">
        <f t="shared" si="3"/>
        <v>1.0471698113207548</v>
      </c>
      <c r="P11" s="75" t="s">
        <v>1126</v>
      </c>
      <c r="Q11" s="63">
        <v>17470</v>
      </c>
      <c r="R11" s="63">
        <v>18052</v>
      </c>
      <c r="S11" s="63">
        <v>17952</v>
      </c>
      <c r="T11" s="97" t="s">
        <v>1126</v>
      </c>
      <c r="U11" s="63">
        <v>18014</v>
      </c>
    </row>
    <row r="12" spans="1:21" ht="18" customHeight="1">
      <c r="A12" s="86" t="s">
        <v>1422</v>
      </c>
      <c r="B12" s="94"/>
      <c r="C12" s="87">
        <v>0</v>
      </c>
      <c r="D12" s="87">
        <v>0</v>
      </c>
      <c r="E12" s="88"/>
      <c r="F12" s="93"/>
      <c r="G12" s="88"/>
      <c r="H12" s="90">
        <v>2010107</v>
      </c>
      <c r="I12" s="90" t="s">
        <v>1116</v>
      </c>
      <c r="J12" s="91">
        <v>0</v>
      </c>
      <c r="K12" s="91"/>
      <c r="L12" s="87">
        <v>0</v>
      </c>
      <c r="M12" s="92" t="str">
        <f t="shared" si="2"/>
        <v/>
      </c>
      <c r="N12" s="89">
        <v>0</v>
      </c>
      <c r="O12" s="92" t="str">
        <f t="shared" si="3"/>
        <v/>
      </c>
      <c r="P12" s="75" t="s">
        <v>1134</v>
      </c>
      <c r="Q12" s="63">
        <v>6188</v>
      </c>
      <c r="R12" s="63">
        <v>5988</v>
      </c>
      <c r="S12" s="63">
        <v>5988</v>
      </c>
      <c r="T12" s="97" t="s">
        <v>1134</v>
      </c>
      <c r="U12" s="63">
        <v>6735</v>
      </c>
    </row>
    <row r="13" spans="1:21" ht="18" customHeight="1">
      <c r="A13" s="86" t="s">
        <v>1423</v>
      </c>
      <c r="B13" s="87">
        <v>150000</v>
      </c>
      <c r="C13" s="87">
        <v>150000</v>
      </c>
      <c r="D13" s="87">
        <v>165356</v>
      </c>
      <c r="E13" s="88">
        <f t="shared" si="1"/>
        <v>1.1023733333333334</v>
      </c>
      <c r="F13" s="93">
        <v>147068</v>
      </c>
      <c r="G13" s="88">
        <f t="shared" si="0"/>
        <v>0.12435064052003164</v>
      </c>
      <c r="H13" s="90">
        <v>2010108</v>
      </c>
      <c r="I13" s="90" t="s">
        <v>1117</v>
      </c>
      <c r="J13" s="91">
        <v>445</v>
      </c>
      <c r="K13" s="91"/>
      <c r="L13" s="87">
        <v>445</v>
      </c>
      <c r="M13" s="92" t="str">
        <f t="shared" si="2"/>
        <v/>
      </c>
      <c r="N13" s="89">
        <v>353</v>
      </c>
      <c r="O13" s="92">
        <f t="shared" si="3"/>
        <v>0.26062322946175631</v>
      </c>
      <c r="P13" s="75" t="s">
        <v>1141</v>
      </c>
      <c r="Q13" s="63">
        <v>6841</v>
      </c>
      <c r="R13" s="63">
        <v>6650</v>
      </c>
      <c r="S13" s="63">
        <v>6650</v>
      </c>
      <c r="T13" s="97" t="s">
        <v>1141</v>
      </c>
      <c r="U13" s="63">
        <v>7803</v>
      </c>
    </row>
    <row r="14" spans="1:21" ht="18" customHeight="1">
      <c r="A14" s="86" t="s">
        <v>1424</v>
      </c>
      <c r="B14" s="87">
        <v>760000</v>
      </c>
      <c r="C14" s="87">
        <v>760000</v>
      </c>
      <c r="D14" s="87">
        <v>1023229</v>
      </c>
      <c r="E14" s="88">
        <f t="shared" si="1"/>
        <v>1.346353947368421</v>
      </c>
      <c r="F14" s="93">
        <v>647723</v>
      </c>
      <c r="G14" s="88">
        <f t="shared" si="0"/>
        <v>0.57973238560310514</v>
      </c>
      <c r="H14" s="90">
        <v>2010109</v>
      </c>
      <c r="I14" s="90" t="s">
        <v>1118</v>
      </c>
      <c r="J14" s="91">
        <v>13</v>
      </c>
      <c r="K14" s="91"/>
      <c r="L14" s="87">
        <v>10</v>
      </c>
      <c r="M14" s="92" t="str">
        <f t="shared" si="2"/>
        <v/>
      </c>
      <c r="N14" s="89">
        <v>12</v>
      </c>
      <c r="O14" s="92">
        <f t="shared" si="3"/>
        <v>-0.16666666666666663</v>
      </c>
      <c r="P14" s="75" t="s">
        <v>1148</v>
      </c>
      <c r="Q14" s="63">
        <v>9108</v>
      </c>
      <c r="R14" s="63">
        <v>12709</v>
      </c>
      <c r="S14" s="63">
        <v>11681</v>
      </c>
      <c r="T14" s="97" t="s">
        <v>1148</v>
      </c>
      <c r="U14" s="63">
        <v>10488</v>
      </c>
    </row>
    <row r="15" spans="1:21" ht="18" customHeight="1">
      <c r="A15" s="86" t="s">
        <v>1425</v>
      </c>
      <c r="B15" s="87">
        <v>700000</v>
      </c>
      <c r="C15" s="87">
        <v>700000</v>
      </c>
      <c r="D15" s="98">
        <v>588115</v>
      </c>
      <c r="E15" s="88">
        <f t="shared" si="1"/>
        <v>0.8401642857142857</v>
      </c>
      <c r="F15" s="93">
        <v>617682</v>
      </c>
      <c r="G15" s="88">
        <f t="shared" si="0"/>
        <v>-4.7867673009736378E-2</v>
      </c>
      <c r="H15" s="90">
        <v>2010150</v>
      </c>
      <c r="I15" s="90" t="s">
        <v>1119</v>
      </c>
      <c r="J15" s="91">
        <v>0</v>
      </c>
      <c r="K15" s="91"/>
      <c r="L15" s="87">
        <v>0</v>
      </c>
      <c r="M15" s="92" t="str">
        <f t="shared" si="2"/>
        <v/>
      </c>
      <c r="N15" s="89">
        <v>0</v>
      </c>
      <c r="O15" s="92" t="str">
        <f t="shared" si="3"/>
        <v/>
      </c>
      <c r="P15" s="75" t="s">
        <v>1155</v>
      </c>
      <c r="Q15" s="63">
        <v>184352</v>
      </c>
      <c r="R15" s="63">
        <v>203757</v>
      </c>
      <c r="S15" s="63">
        <v>203484</v>
      </c>
      <c r="T15" s="97" t="s">
        <v>1155</v>
      </c>
      <c r="U15" s="63">
        <v>187068</v>
      </c>
    </row>
    <row r="16" spans="1:21" ht="18" customHeight="1">
      <c r="A16" s="76" t="s">
        <v>1426</v>
      </c>
      <c r="B16" s="77">
        <v>3685000</v>
      </c>
      <c r="C16" s="99">
        <v>3685000</v>
      </c>
      <c r="D16" s="99">
        <v>3709569</v>
      </c>
      <c r="E16" s="78">
        <f t="shared" si="1"/>
        <v>1.0066672998643147</v>
      </c>
      <c r="F16" s="79">
        <f>SUM(F17:F22)</f>
        <v>2539060</v>
      </c>
      <c r="G16" s="78">
        <f t="shared" si="0"/>
        <v>0.46100092160090744</v>
      </c>
      <c r="H16" s="90">
        <v>2010199</v>
      </c>
      <c r="I16" s="90" t="s">
        <v>1120</v>
      </c>
      <c r="J16" s="91">
        <v>490</v>
      </c>
      <c r="K16" s="91"/>
      <c r="L16" s="87">
        <v>720</v>
      </c>
      <c r="M16" s="92" t="str">
        <f t="shared" si="2"/>
        <v/>
      </c>
      <c r="N16" s="89">
        <v>1039</v>
      </c>
      <c r="O16" s="92">
        <f t="shared" si="3"/>
        <v>-0.30702598652550528</v>
      </c>
      <c r="P16" s="75" t="s">
        <v>1162</v>
      </c>
      <c r="Q16" s="63">
        <v>5725</v>
      </c>
      <c r="R16" s="63">
        <v>6558</v>
      </c>
      <c r="S16" s="63">
        <v>6254</v>
      </c>
      <c r="T16" s="97" t="s">
        <v>1162</v>
      </c>
      <c r="U16" s="63">
        <v>5889</v>
      </c>
    </row>
    <row r="17" spans="1:21" ht="18" customHeight="1">
      <c r="A17" s="86" t="s">
        <v>1427</v>
      </c>
      <c r="B17" s="87">
        <v>1855000</v>
      </c>
      <c r="C17" s="87">
        <v>1855000</v>
      </c>
      <c r="D17" s="100">
        <v>1556389</v>
      </c>
      <c r="E17" s="88">
        <f t="shared" si="1"/>
        <v>0.83902371967654987</v>
      </c>
      <c r="F17" s="93">
        <v>482709</v>
      </c>
      <c r="G17" s="88">
        <f t="shared" si="0"/>
        <v>2.2242800527854256</v>
      </c>
      <c r="H17" s="90">
        <v>20102</v>
      </c>
      <c r="I17" s="80" t="s">
        <v>1121</v>
      </c>
      <c r="J17" s="143">
        <v>3702</v>
      </c>
      <c r="K17" s="647">
        <v>3882</v>
      </c>
      <c r="L17" s="87">
        <v>3882</v>
      </c>
      <c r="M17" s="92">
        <f t="shared" si="2"/>
        <v>1</v>
      </c>
      <c r="N17" s="89">
        <v>3402</v>
      </c>
      <c r="O17" s="92">
        <f t="shared" si="3"/>
        <v>0.14109347442680775</v>
      </c>
      <c r="P17" s="75" t="s">
        <v>1166</v>
      </c>
      <c r="Q17" s="63">
        <v>0</v>
      </c>
      <c r="R17" s="63">
        <v>16328</v>
      </c>
      <c r="S17" s="63">
        <v>16328</v>
      </c>
      <c r="T17" s="97" t="s">
        <v>1166</v>
      </c>
      <c r="U17" s="63">
        <v>17822</v>
      </c>
    </row>
    <row r="18" spans="1:21" ht="18" customHeight="1">
      <c r="A18" s="86" t="s">
        <v>1428</v>
      </c>
      <c r="B18" s="87">
        <v>580000</v>
      </c>
      <c r="C18" s="101">
        <v>580000</v>
      </c>
      <c r="D18" s="101">
        <v>222881</v>
      </c>
      <c r="E18" s="88">
        <f t="shared" si="1"/>
        <v>0.38427758620689656</v>
      </c>
      <c r="F18" s="93">
        <v>735316</v>
      </c>
      <c r="G18" s="88">
        <f t="shared" si="0"/>
        <v>-0.69689086052799065</v>
      </c>
      <c r="H18" s="90">
        <v>2010201</v>
      </c>
      <c r="I18" s="90" t="s">
        <v>1110</v>
      </c>
      <c r="J18" s="143">
        <v>2036</v>
      </c>
      <c r="K18" s="143"/>
      <c r="L18" s="87">
        <v>2333</v>
      </c>
      <c r="M18" s="92" t="str">
        <f t="shared" si="2"/>
        <v/>
      </c>
      <c r="N18" s="89">
        <v>1776</v>
      </c>
      <c r="O18" s="92">
        <f t="shared" si="3"/>
        <v>0.31362612612612617</v>
      </c>
      <c r="P18" s="75" t="s">
        <v>1171</v>
      </c>
      <c r="Q18" s="63">
        <v>45442</v>
      </c>
      <c r="R18" s="63">
        <v>28157</v>
      </c>
      <c r="S18" s="63">
        <v>27477</v>
      </c>
      <c r="T18" s="97" t="s">
        <v>1171</v>
      </c>
      <c r="U18" s="63">
        <v>20228</v>
      </c>
    </row>
    <row r="19" spans="1:21" ht="18" customHeight="1">
      <c r="A19" s="86" t="s">
        <v>1429</v>
      </c>
      <c r="B19" s="87">
        <v>200000</v>
      </c>
      <c r="C19" s="87">
        <v>200000</v>
      </c>
      <c r="D19" s="98">
        <v>251860</v>
      </c>
      <c r="E19" s="88">
        <f t="shared" si="1"/>
        <v>1.2593000000000001</v>
      </c>
      <c r="F19" s="93">
        <v>224952</v>
      </c>
      <c r="G19" s="88">
        <f t="shared" si="0"/>
        <v>0.1196166293253671</v>
      </c>
      <c r="H19" s="90">
        <v>2010202</v>
      </c>
      <c r="I19" s="90" t="s">
        <v>1111</v>
      </c>
      <c r="J19" s="143">
        <v>474</v>
      </c>
      <c r="K19" s="143"/>
      <c r="L19" s="87">
        <v>326</v>
      </c>
      <c r="M19" s="92" t="str">
        <f t="shared" si="2"/>
        <v/>
      </c>
      <c r="N19" s="89">
        <v>325</v>
      </c>
      <c r="O19" s="92">
        <f t="shared" si="3"/>
        <v>3.0769230769229772E-3</v>
      </c>
      <c r="P19" s="75" t="s">
        <v>1182</v>
      </c>
      <c r="Q19" s="63">
        <v>12558</v>
      </c>
      <c r="R19" s="63">
        <v>12012</v>
      </c>
      <c r="S19" s="63">
        <v>12009</v>
      </c>
      <c r="T19" s="97" t="s">
        <v>1182</v>
      </c>
      <c r="U19" s="63">
        <v>9716</v>
      </c>
    </row>
    <row r="20" spans="1:21" ht="18" customHeight="1">
      <c r="A20" s="86" t="s">
        <v>1430</v>
      </c>
      <c r="B20" s="87">
        <v>0</v>
      </c>
      <c r="C20" s="87">
        <v>0</v>
      </c>
      <c r="D20" s="87">
        <v>1185</v>
      </c>
      <c r="E20" s="88"/>
      <c r="F20" s="93"/>
      <c r="G20" s="88"/>
      <c r="H20" s="90">
        <v>2010203</v>
      </c>
      <c r="I20" s="90" t="s">
        <v>1112</v>
      </c>
      <c r="J20" s="143">
        <v>50</v>
      </c>
      <c r="K20" s="143"/>
      <c r="L20" s="87">
        <v>50</v>
      </c>
      <c r="M20" s="92" t="str">
        <f t="shared" si="2"/>
        <v/>
      </c>
      <c r="N20" s="89">
        <v>6</v>
      </c>
      <c r="O20" s="92">
        <f t="shared" si="3"/>
        <v>7.3333333333333339</v>
      </c>
      <c r="P20" s="75" t="s">
        <v>1187</v>
      </c>
      <c r="Q20" s="63">
        <v>16011</v>
      </c>
      <c r="R20" s="63">
        <v>15336</v>
      </c>
      <c r="S20" s="63">
        <v>15091</v>
      </c>
      <c r="T20" s="97" t="s">
        <v>402</v>
      </c>
      <c r="U20" s="63">
        <v>6126</v>
      </c>
    </row>
    <row r="21" spans="1:21" ht="25.5" customHeight="1">
      <c r="A21" s="102" t="s">
        <v>1413</v>
      </c>
      <c r="B21" s="87">
        <v>120000</v>
      </c>
      <c r="C21" s="87">
        <v>120000</v>
      </c>
      <c r="D21" s="87">
        <v>358165</v>
      </c>
      <c r="E21" s="88"/>
      <c r="F21" s="93">
        <v>111954</v>
      </c>
      <c r="G21" s="88">
        <f t="shared" si="0"/>
        <v>2.1992157493256159</v>
      </c>
      <c r="H21" s="90">
        <v>2010204</v>
      </c>
      <c r="I21" s="90" t="s">
        <v>1122</v>
      </c>
      <c r="J21" s="143">
        <v>270</v>
      </c>
      <c r="K21" s="143"/>
      <c r="L21" s="87">
        <v>270</v>
      </c>
      <c r="M21" s="92" t="str">
        <f t="shared" si="2"/>
        <v/>
      </c>
      <c r="N21" s="89">
        <v>217</v>
      </c>
      <c r="O21" s="92">
        <f t="shared" si="3"/>
        <v>0.24423963133640547</v>
      </c>
      <c r="P21" s="75" t="s">
        <v>1194</v>
      </c>
      <c r="Q21" s="63">
        <v>25503</v>
      </c>
      <c r="R21" s="63">
        <v>28807</v>
      </c>
      <c r="S21" s="63">
        <v>28790</v>
      </c>
      <c r="T21" s="97" t="s">
        <v>1187</v>
      </c>
      <c r="U21" s="63">
        <v>15581</v>
      </c>
    </row>
    <row r="22" spans="1:21" ht="18" customHeight="1">
      <c r="A22" s="86" t="s">
        <v>1431</v>
      </c>
      <c r="B22" s="87">
        <v>930000</v>
      </c>
      <c r="C22" s="87">
        <v>930000</v>
      </c>
      <c r="D22" s="87">
        <v>1319089</v>
      </c>
      <c r="E22" s="88">
        <f t="shared" si="1"/>
        <v>1.4183752688172042</v>
      </c>
      <c r="F22" s="93">
        <v>984129</v>
      </c>
      <c r="G22" s="88">
        <f t="shared" si="0"/>
        <v>0.34036188345227103</v>
      </c>
      <c r="H22" s="90">
        <v>2010205</v>
      </c>
      <c r="I22" s="90" t="s">
        <v>1123</v>
      </c>
      <c r="J22" s="143">
        <v>315</v>
      </c>
      <c r="K22" s="143"/>
      <c r="L22" s="87">
        <v>253</v>
      </c>
      <c r="M22" s="92" t="str">
        <f t="shared" si="2"/>
        <v/>
      </c>
      <c r="N22" s="89">
        <v>166</v>
      </c>
      <c r="O22" s="92">
        <f t="shared" si="3"/>
        <v>0.52409638554216875</v>
      </c>
      <c r="P22" s="75" t="s">
        <v>1202</v>
      </c>
      <c r="Q22" s="63">
        <v>84198</v>
      </c>
      <c r="R22" s="63">
        <v>93374</v>
      </c>
      <c r="S22" s="63">
        <v>93374</v>
      </c>
      <c r="T22" s="97" t="s">
        <v>1194</v>
      </c>
      <c r="U22" s="63">
        <v>22011</v>
      </c>
    </row>
    <row r="23" spans="1:21" ht="18" customHeight="1">
      <c r="A23" s="103"/>
      <c r="B23" s="104"/>
      <c r="C23" s="104"/>
      <c r="D23" s="104"/>
      <c r="E23" s="92"/>
      <c r="F23" s="104"/>
      <c r="G23" s="92"/>
      <c r="H23" s="90">
        <v>2010206</v>
      </c>
      <c r="I23" s="90" t="s">
        <v>1124</v>
      </c>
      <c r="J23" s="143">
        <v>193</v>
      </c>
      <c r="K23" s="143"/>
      <c r="L23" s="87">
        <v>193</v>
      </c>
      <c r="M23" s="92" t="str">
        <f t="shared" si="2"/>
        <v/>
      </c>
      <c r="N23" s="89">
        <v>262</v>
      </c>
      <c r="O23" s="92">
        <f t="shared" si="3"/>
        <v>-0.26335877862595425</v>
      </c>
      <c r="P23" s="75" t="s">
        <v>1207</v>
      </c>
      <c r="Q23" s="63">
        <v>26908</v>
      </c>
      <c r="R23" s="63">
        <v>23894</v>
      </c>
      <c r="S23" s="63">
        <v>23722</v>
      </c>
      <c r="T23" s="97" t="s">
        <v>1202</v>
      </c>
      <c r="U23" s="63">
        <v>86879</v>
      </c>
    </row>
    <row r="24" spans="1:21" ht="18" customHeight="1">
      <c r="A24" s="86"/>
      <c r="B24" s="94"/>
      <c r="C24" s="94"/>
      <c r="D24" s="93"/>
      <c r="E24" s="88"/>
      <c r="F24" s="93"/>
      <c r="G24" s="88"/>
      <c r="H24" s="90">
        <v>2010250</v>
      </c>
      <c r="I24" s="90" t="s">
        <v>1119</v>
      </c>
      <c r="J24" s="143">
        <v>0</v>
      </c>
      <c r="K24" s="143"/>
      <c r="L24" s="87">
        <v>0</v>
      </c>
      <c r="M24" s="92" t="str">
        <f t="shared" si="2"/>
        <v/>
      </c>
      <c r="N24" s="89">
        <v>0</v>
      </c>
      <c r="O24" s="92" t="str">
        <f t="shared" si="3"/>
        <v/>
      </c>
      <c r="P24" s="75" t="s">
        <v>1215</v>
      </c>
      <c r="Q24" s="63">
        <v>458</v>
      </c>
      <c r="R24" s="63">
        <v>734</v>
      </c>
      <c r="S24" s="63">
        <v>734</v>
      </c>
      <c r="T24" s="97" t="s">
        <v>1207</v>
      </c>
      <c r="U24" s="63">
        <v>27674</v>
      </c>
    </row>
    <row r="25" spans="1:21" ht="18" customHeight="1">
      <c r="A25" s="86"/>
      <c r="B25" s="94"/>
      <c r="C25" s="94"/>
      <c r="D25" s="93"/>
      <c r="E25" s="88"/>
      <c r="F25" s="93"/>
      <c r="G25" s="88"/>
      <c r="H25" s="90">
        <v>2010299</v>
      </c>
      <c r="I25" s="90" t="s">
        <v>1125</v>
      </c>
      <c r="J25" s="143">
        <v>364</v>
      </c>
      <c r="K25" s="143"/>
      <c r="L25" s="87">
        <v>457</v>
      </c>
      <c r="M25" s="92" t="str">
        <f t="shared" si="2"/>
        <v/>
      </c>
      <c r="N25" s="89">
        <v>650</v>
      </c>
      <c r="O25" s="92">
        <f t="shared" si="3"/>
        <v>-0.29692307692307696</v>
      </c>
      <c r="P25" s="75" t="s">
        <v>1218</v>
      </c>
      <c r="Q25" s="63">
        <v>174</v>
      </c>
      <c r="R25" s="63">
        <v>314</v>
      </c>
      <c r="S25" s="63">
        <v>314</v>
      </c>
      <c r="T25" s="97" t="s">
        <v>1215</v>
      </c>
      <c r="U25" s="63">
        <v>1893</v>
      </c>
    </row>
    <row r="26" spans="1:21" ht="18" customHeight="1">
      <c r="A26" s="103"/>
      <c r="B26" s="104"/>
      <c r="C26" s="104"/>
      <c r="D26" s="104"/>
      <c r="E26" s="92"/>
      <c r="F26" s="104"/>
      <c r="G26" s="92"/>
      <c r="H26" s="90">
        <v>20103</v>
      </c>
      <c r="I26" s="80" t="s">
        <v>1126</v>
      </c>
      <c r="J26" s="143">
        <v>17598</v>
      </c>
      <c r="K26" s="647">
        <v>20028</v>
      </c>
      <c r="L26" s="87">
        <v>20028</v>
      </c>
      <c r="M26" s="92">
        <f t="shared" si="2"/>
        <v>1</v>
      </c>
      <c r="N26" s="89">
        <v>17952</v>
      </c>
      <c r="O26" s="92">
        <f t="shared" si="3"/>
        <v>0.1156417112299466</v>
      </c>
      <c r="P26" s="75" t="s">
        <v>1221</v>
      </c>
      <c r="Q26" s="63">
        <v>1551</v>
      </c>
      <c r="R26" s="63">
        <v>2243</v>
      </c>
      <c r="S26" s="63">
        <v>1798</v>
      </c>
      <c r="T26" s="97" t="s">
        <v>1218</v>
      </c>
      <c r="U26" s="63">
        <v>136</v>
      </c>
    </row>
    <row r="27" spans="1:21" ht="18" customHeight="1">
      <c r="A27" s="103"/>
      <c r="B27" s="104"/>
      <c r="C27" s="104"/>
      <c r="D27" s="104"/>
      <c r="E27" s="92"/>
      <c r="F27" s="104"/>
      <c r="G27" s="92"/>
      <c r="H27" s="90">
        <v>2010301</v>
      </c>
      <c r="I27" s="90" t="s">
        <v>1110</v>
      </c>
      <c r="J27" s="143">
        <v>4150</v>
      </c>
      <c r="K27" s="143"/>
      <c r="L27" s="87">
        <v>4761</v>
      </c>
      <c r="M27" s="92" t="str">
        <f t="shared" si="2"/>
        <v/>
      </c>
      <c r="N27" s="89">
        <v>3969</v>
      </c>
      <c r="O27" s="92">
        <f t="shared" si="3"/>
        <v>0.1995464852607709</v>
      </c>
      <c r="P27" s="75" t="s">
        <v>1226</v>
      </c>
      <c r="Q27" s="63">
        <v>2490</v>
      </c>
      <c r="R27" s="63">
        <v>2276</v>
      </c>
      <c r="S27" s="63">
        <v>2276</v>
      </c>
      <c r="T27" s="97" t="s">
        <v>1221</v>
      </c>
      <c r="U27" s="63">
        <v>1314</v>
      </c>
    </row>
    <row r="28" spans="1:21" ht="18" customHeight="1">
      <c r="A28" s="103"/>
      <c r="B28" s="104"/>
      <c r="C28" s="104"/>
      <c r="D28" s="104"/>
      <c r="E28" s="92"/>
      <c r="F28" s="104"/>
      <c r="G28" s="92"/>
      <c r="H28" s="90">
        <v>2010302</v>
      </c>
      <c r="I28" s="90" t="s">
        <v>1111</v>
      </c>
      <c r="J28" s="143">
        <v>1099</v>
      </c>
      <c r="K28" s="143"/>
      <c r="L28" s="87">
        <v>1459</v>
      </c>
      <c r="M28" s="92" t="str">
        <f t="shared" si="2"/>
        <v/>
      </c>
      <c r="N28" s="89">
        <v>1370</v>
      </c>
      <c r="O28" s="92">
        <f t="shared" si="3"/>
        <v>6.496350364963499E-2</v>
      </c>
      <c r="T28" s="97"/>
    </row>
    <row r="29" spans="1:21" ht="18" customHeight="1">
      <c r="A29" s="103"/>
      <c r="B29" s="104"/>
      <c r="C29" s="104"/>
      <c r="D29" s="104"/>
      <c r="E29" s="92"/>
      <c r="F29" s="104"/>
      <c r="G29" s="92"/>
      <c r="H29" s="90">
        <v>2010303</v>
      </c>
      <c r="I29" s="90" t="s">
        <v>1112</v>
      </c>
      <c r="J29" s="143">
        <v>435</v>
      </c>
      <c r="K29" s="143"/>
      <c r="L29" s="87">
        <v>349</v>
      </c>
      <c r="M29" s="92" t="str">
        <f t="shared" si="2"/>
        <v/>
      </c>
      <c r="N29" s="89">
        <v>366</v>
      </c>
      <c r="O29" s="92">
        <f t="shared" si="3"/>
        <v>-4.6448087431694041E-2</v>
      </c>
      <c r="T29" s="97"/>
    </row>
    <row r="30" spans="1:21" ht="18" customHeight="1">
      <c r="A30" s="103"/>
      <c r="B30" s="104"/>
      <c r="C30" s="104"/>
      <c r="D30" s="104"/>
      <c r="E30" s="92"/>
      <c r="F30" s="104"/>
      <c r="G30" s="92"/>
      <c r="H30" s="90">
        <v>2010304</v>
      </c>
      <c r="I30" s="90" t="s">
        <v>1127</v>
      </c>
      <c r="J30" s="143">
        <v>262</v>
      </c>
      <c r="K30" s="143"/>
      <c r="L30" s="87">
        <v>197</v>
      </c>
      <c r="M30" s="92" t="str">
        <f t="shared" si="2"/>
        <v/>
      </c>
      <c r="N30" s="89">
        <v>196</v>
      </c>
      <c r="O30" s="92">
        <f t="shared" si="3"/>
        <v>5.1020408163264808E-3</v>
      </c>
      <c r="T30" s="97"/>
    </row>
    <row r="31" spans="1:21" ht="18" customHeight="1">
      <c r="A31" s="103"/>
      <c r="B31" s="104"/>
      <c r="C31" s="104"/>
      <c r="D31" s="104"/>
      <c r="E31" s="92"/>
      <c r="F31" s="104"/>
      <c r="G31" s="92"/>
      <c r="H31" s="90">
        <v>2010305</v>
      </c>
      <c r="I31" s="90" t="s">
        <v>1128</v>
      </c>
      <c r="J31" s="143">
        <v>43</v>
      </c>
      <c r="K31" s="143"/>
      <c r="L31" s="87">
        <v>38</v>
      </c>
      <c r="M31" s="92" t="str">
        <f t="shared" si="2"/>
        <v/>
      </c>
      <c r="N31" s="89">
        <v>32</v>
      </c>
      <c r="O31" s="92">
        <f t="shared" si="3"/>
        <v>0.1875</v>
      </c>
      <c r="T31" s="97"/>
    </row>
    <row r="32" spans="1:21" ht="18" customHeight="1">
      <c r="A32" s="103"/>
      <c r="B32" s="104"/>
      <c r="C32" s="104"/>
      <c r="D32" s="104"/>
      <c r="E32" s="92"/>
      <c r="F32" s="104"/>
      <c r="G32" s="92"/>
      <c r="H32" s="90">
        <v>2010306</v>
      </c>
      <c r="I32" s="90" t="s">
        <v>1129</v>
      </c>
      <c r="J32" s="143">
        <v>0</v>
      </c>
      <c r="K32" s="143"/>
      <c r="L32" s="87">
        <v>0</v>
      </c>
      <c r="M32" s="92" t="str">
        <f t="shared" si="2"/>
        <v/>
      </c>
      <c r="N32" s="89">
        <v>0</v>
      </c>
      <c r="O32" s="92" t="str">
        <f t="shared" si="3"/>
        <v/>
      </c>
      <c r="T32" s="97"/>
    </row>
    <row r="33" spans="1:20" ht="18" customHeight="1">
      <c r="A33" s="86"/>
      <c r="B33" s="105"/>
      <c r="C33" s="105"/>
      <c r="D33" s="104"/>
      <c r="E33" s="92"/>
      <c r="F33" s="104"/>
      <c r="G33" s="92"/>
      <c r="H33" s="90">
        <v>2010307</v>
      </c>
      <c r="I33" s="90" t="s">
        <v>1130</v>
      </c>
      <c r="J33" s="143">
        <v>0</v>
      </c>
      <c r="K33" s="143"/>
      <c r="L33" s="87">
        <v>0</v>
      </c>
      <c r="M33" s="92" t="str">
        <f t="shared" si="2"/>
        <v/>
      </c>
      <c r="N33" s="89">
        <v>0</v>
      </c>
      <c r="O33" s="92" t="str">
        <f t="shared" si="3"/>
        <v/>
      </c>
      <c r="T33" s="97"/>
    </row>
    <row r="34" spans="1:20" ht="18" customHeight="1">
      <c r="A34" s="86"/>
      <c r="B34" s="105"/>
      <c r="C34" s="105"/>
      <c r="D34" s="104"/>
      <c r="E34" s="92"/>
      <c r="F34" s="104"/>
      <c r="G34" s="92"/>
      <c r="H34" s="90">
        <v>2010308</v>
      </c>
      <c r="I34" s="90" t="s">
        <v>1131</v>
      </c>
      <c r="J34" s="143">
        <v>2876</v>
      </c>
      <c r="K34" s="143"/>
      <c r="L34" s="87">
        <v>4161</v>
      </c>
      <c r="M34" s="92" t="str">
        <f t="shared" si="2"/>
        <v/>
      </c>
      <c r="N34" s="89">
        <v>3653</v>
      </c>
      <c r="O34" s="92">
        <f t="shared" si="3"/>
        <v>0.13906378319189705</v>
      </c>
      <c r="T34" s="97"/>
    </row>
    <row r="35" spans="1:20" ht="18" customHeight="1">
      <c r="A35" s="103"/>
      <c r="B35" s="104"/>
      <c r="C35" s="104"/>
      <c r="D35" s="104"/>
      <c r="E35" s="92"/>
      <c r="F35" s="104"/>
      <c r="G35" s="92"/>
      <c r="H35" s="90">
        <v>2010309</v>
      </c>
      <c r="I35" s="90" t="s">
        <v>1132</v>
      </c>
      <c r="J35" s="143">
        <v>0</v>
      </c>
      <c r="K35" s="143"/>
      <c r="L35" s="87">
        <v>0</v>
      </c>
      <c r="M35" s="92" t="str">
        <f t="shared" si="2"/>
        <v/>
      </c>
      <c r="N35" s="89">
        <v>0</v>
      </c>
      <c r="O35" s="92" t="str">
        <f t="shared" si="3"/>
        <v/>
      </c>
      <c r="T35" s="97"/>
    </row>
    <row r="36" spans="1:20" ht="18" customHeight="1">
      <c r="A36" s="103"/>
      <c r="B36" s="104"/>
      <c r="C36" s="104"/>
      <c r="D36" s="104"/>
      <c r="E36" s="92"/>
      <c r="F36" s="104"/>
      <c r="G36" s="92"/>
      <c r="H36" s="90">
        <v>2010350</v>
      </c>
      <c r="I36" s="90" t="s">
        <v>1119</v>
      </c>
      <c r="J36" s="143">
        <v>0</v>
      </c>
      <c r="K36" s="143"/>
      <c r="L36" s="87">
        <v>0</v>
      </c>
      <c r="M36" s="92" t="str">
        <f t="shared" si="2"/>
        <v/>
      </c>
      <c r="N36" s="89">
        <v>0</v>
      </c>
      <c r="O36" s="92" t="str">
        <f t="shared" si="3"/>
        <v/>
      </c>
      <c r="T36" s="97"/>
    </row>
    <row r="37" spans="1:20" ht="18" customHeight="1">
      <c r="A37" s="103"/>
      <c r="B37" s="104"/>
      <c r="C37" s="104"/>
      <c r="D37" s="104"/>
      <c r="E37" s="92"/>
      <c r="F37" s="104"/>
      <c r="G37" s="92"/>
      <c r="H37" s="90">
        <v>2010399</v>
      </c>
      <c r="I37" s="90" t="s">
        <v>1133</v>
      </c>
      <c r="J37" s="143">
        <v>8733</v>
      </c>
      <c r="K37" s="143"/>
      <c r="L37" s="87">
        <v>9063</v>
      </c>
      <c r="M37" s="92" t="str">
        <f t="shared" si="2"/>
        <v/>
      </c>
      <c r="N37" s="89">
        <v>8366</v>
      </c>
      <c r="O37" s="92">
        <f t="shared" si="3"/>
        <v>8.3313411427205386E-2</v>
      </c>
      <c r="T37" s="97"/>
    </row>
    <row r="38" spans="1:20" ht="18" customHeight="1">
      <c r="A38" s="103"/>
      <c r="B38" s="104"/>
      <c r="C38" s="104"/>
      <c r="D38" s="104"/>
      <c r="E38" s="92"/>
      <c r="F38" s="104"/>
      <c r="G38" s="92"/>
      <c r="H38" s="90">
        <v>20104</v>
      </c>
      <c r="I38" s="80" t="s">
        <v>1134</v>
      </c>
      <c r="J38" s="143">
        <v>7273</v>
      </c>
      <c r="K38" s="647">
        <v>8631</v>
      </c>
      <c r="L38" s="87">
        <v>8631</v>
      </c>
      <c r="M38" s="92">
        <f t="shared" si="2"/>
        <v>1</v>
      </c>
      <c r="N38" s="89">
        <v>5988</v>
      </c>
      <c r="O38" s="92">
        <f t="shared" si="3"/>
        <v>0.44138276553106204</v>
      </c>
      <c r="T38" s="97"/>
    </row>
    <row r="39" spans="1:20" ht="18" customHeight="1">
      <c r="A39" s="103"/>
      <c r="B39" s="104"/>
      <c r="C39" s="104"/>
      <c r="D39" s="104"/>
      <c r="E39" s="92"/>
      <c r="F39" s="104"/>
      <c r="G39" s="92"/>
      <c r="H39" s="90">
        <v>2010401</v>
      </c>
      <c r="I39" s="90" t="s">
        <v>1110</v>
      </c>
      <c r="J39" s="143">
        <v>3133</v>
      </c>
      <c r="K39" s="143"/>
      <c r="L39" s="87">
        <v>3923</v>
      </c>
      <c r="M39" s="92" t="str">
        <f t="shared" si="2"/>
        <v/>
      </c>
      <c r="N39" s="89">
        <v>2819</v>
      </c>
      <c r="O39" s="92">
        <f t="shared" si="3"/>
        <v>0.39162823696346227</v>
      </c>
      <c r="T39" s="97"/>
    </row>
    <row r="40" spans="1:20" ht="18" customHeight="1">
      <c r="A40" s="103"/>
      <c r="B40" s="104"/>
      <c r="C40" s="104"/>
      <c r="D40" s="104"/>
      <c r="E40" s="92"/>
      <c r="F40" s="104"/>
      <c r="G40" s="92"/>
      <c r="H40" s="90">
        <v>2010402</v>
      </c>
      <c r="I40" s="90" t="s">
        <v>1111</v>
      </c>
      <c r="J40" s="143">
        <v>1423</v>
      </c>
      <c r="K40" s="143"/>
      <c r="L40" s="87">
        <v>586</v>
      </c>
      <c r="M40" s="92" t="str">
        <f t="shared" si="2"/>
        <v/>
      </c>
      <c r="N40" s="89">
        <v>407</v>
      </c>
      <c r="O40" s="92">
        <f t="shared" si="3"/>
        <v>0.43980343980343983</v>
      </c>
      <c r="T40" s="97"/>
    </row>
    <row r="41" spans="1:20" ht="18" customHeight="1">
      <c r="A41" s="103"/>
      <c r="B41" s="104"/>
      <c r="C41" s="104"/>
      <c r="D41" s="104"/>
      <c r="E41" s="92"/>
      <c r="F41" s="104"/>
      <c r="G41" s="92"/>
      <c r="H41" s="90">
        <v>2010403</v>
      </c>
      <c r="I41" s="90" t="s">
        <v>1112</v>
      </c>
      <c r="J41" s="143">
        <v>0</v>
      </c>
      <c r="K41" s="143"/>
      <c r="L41" s="87">
        <v>0</v>
      </c>
      <c r="M41" s="92" t="str">
        <f t="shared" si="2"/>
        <v/>
      </c>
      <c r="N41" s="89">
        <v>0</v>
      </c>
      <c r="O41" s="92" t="str">
        <f t="shared" si="3"/>
        <v/>
      </c>
      <c r="T41" s="97"/>
    </row>
    <row r="42" spans="1:20" ht="18" customHeight="1">
      <c r="A42" s="103"/>
      <c r="B42" s="104"/>
      <c r="C42" s="104"/>
      <c r="D42" s="104"/>
      <c r="E42" s="92"/>
      <c r="F42" s="104"/>
      <c r="G42" s="92"/>
      <c r="H42" s="90">
        <v>2010404</v>
      </c>
      <c r="I42" s="90" t="s">
        <v>1135</v>
      </c>
      <c r="J42" s="143">
        <v>582</v>
      </c>
      <c r="K42" s="143"/>
      <c r="L42" s="87">
        <v>540</v>
      </c>
      <c r="M42" s="92" t="str">
        <f t="shared" si="2"/>
        <v/>
      </c>
      <c r="N42" s="89">
        <v>162</v>
      </c>
      <c r="O42" s="92">
        <f t="shared" si="3"/>
        <v>2.3333333333333335</v>
      </c>
      <c r="T42" s="97"/>
    </row>
    <row r="43" spans="1:20" ht="18" customHeight="1">
      <c r="A43" s="103"/>
      <c r="B43" s="104"/>
      <c r="C43" s="104"/>
      <c r="D43" s="104"/>
      <c r="E43" s="92"/>
      <c r="F43" s="104"/>
      <c r="G43" s="92"/>
      <c r="H43" s="90">
        <v>2010405</v>
      </c>
      <c r="I43" s="90" t="s">
        <v>1136</v>
      </c>
      <c r="J43" s="143">
        <v>571</v>
      </c>
      <c r="K43" s="143"/>
      <c r="L43" s="87">
        <v>521</v>
      </c>
      <c r="M43" s="92" t="str">
        <f t="shared" si="2"/>
        <v/>
      </c>
      <c r="N43" s="89">
        <v>555</v>
      </c>
      <c r="O43" s="92">
        <f t="shared" si="3"/>
        <v>-6.1261261261261302E-2</v>
      </c>
      <c r="T43" s="97"/>
    </row>
    <row r="44" spans="1:20" ht="18" customHeight="1">
      <c r="A44" s="103"/>
      <c r="B44" s="104"/>
      <c r="C44" s="104"/>
      <c r="D44" s="104"/>
      <c r="E44" s="92"/>
      <c r="F44" s="104"/>
      <c r="G44" s="92"/>
      <c r="H44" s="90">
        <v>2010406</v>
      </c>
      <c r="I44" s="90" t="s">
        <v>1137</v>
      </c>
      <c r="J44" s="143">
        <v>160</v>
      </c>
      <c r="K44" s="143"/>
      <c r="L44" s="87">
        <v>58</v>
      </c>
      <c r="M44" s="92" t="str">
        <f t="shared" si="2"/>
        <v/>
      </c>
      <c r="N44" s="89">
        <v>25</v>
      </c>
      <c r="O44" s="92">
        <f t="shared" si="3"/>
        <v>1.3199999999999998</v>
      </c>
      <c r="T44" s="97"/>
    </row>
    <row r="45" spans="1:20" ht="18" customHeight="1">
      <c r="A45" s="103"/>
      <c r="B45" s="104"/>
      <c r="C45" s="104"/>
      <c r="D45" s="104"/>
      <c r="E45" s="92"/>
      <c r="F45" s="104"/>
      <c r="G45" s="92"/>
      <c r="H45" s="90">
        <v>2010407</v>
      </c>
      <c r="I45" s="90" t="s">
        <v>1138</v>
      </c>
      <c r="J45" s="143">
        <v>21</v>
      </c>
      <c r="K45" s="143"/>
      <c r="L45" s="87">
        <v>3</v>
      </c>
      <c r="M45" s="92" t="str">
        <f t="shared" si="2"/>
        <v/>
      </c>
      <c r="N45" s="89">
        <v>6</v>
      </c>
      <c r="O45" s="92">
        <f t="shared" si="3"/>
        <v>-0.5</v>
      </c>
      <c r="T45" s="97"/>
    </row>
    <row r="46" spans="1:20" ht="18" customHeight="1">
      <c r="A46" s="103"/>
      <c r="B46" s="104"/>
      <c r="C46" s="104"/>
      <c r="D46" s="104"/>
      <c r="E46" s="92"/>
      <c r="F46" s="104"/>
      <c r="G46" s="92"/>
      <c r="H46" s="90">
        <v>2010408</v>
      </c>
      <c r="I46" s="90" t="s">
        <v>1139</v>
      </c>
      <c r="J46" s="143">
        <v>1083</v>
      </c>
      <c r="K46" s="143"/>
      <c r="L46" s="87">
        <v>971</v>
      </c>
      <c r="M46" s="92" t="str">
        <f t="shared" si="2"/>
        <v/>
      </c>
      <c r="N46" s="89">
        <v>814</v>
      </c>
      <c r="O46" s="92">
        <f t="shared" si="3"/>
        <v>0.19287469287469294</v>
      </c>
      <c r="T46" s="97"/>
    </row>
    <row r="47" spans="1:20" ht="18" customHeight="1">
      <c r="A47" s="103"/>
      <c r="B47" s="104"/>
      <c r="C47" s="104"/>
      <c r="D47" s="104"/>
      <c r="E47" s="92"/>
      <c r="F47" s="104"/>
      <c r="G47" s="92"/>
      <c r="H47" s="90">
        <v>2010450</v>
      </c>
      <c r="I47" s="90" t="s">
        <v>1119</v>
      </c>
      <c r="J47" s="143">
        <v>44</v>
      </c>
      <c r="K47" s="143"/>
      <c r="L47" s="87">
        <v>42</v>
      </c>
      <c r="M47" s="92" t="str">
        <f t="shared" si="2"/>
        <v/>
      </c>
      <c r="N47" s="89">
        <v>41</v>
      </c>
      <c r="O47" s="92">
        <f t="shared" si="3"/>
        <v>2.4390243902439046E-2</v>
      </c>
      <c r="T47" s="97"/>
    </row>
    <row r="48" spans="1:20" ht="18" customHeight="1">
      <c r="A48" s="103"/>
      <c r="B48" s="104"/>
      <c r="C48" s="104"/>
      <c r="D48" s="104"/>
      <c r="E48" s="92"/>
      <c r="F48" s="104"/>
      <c r="G48" s="92"/>
      <c r="H48" s="90">
        <v>2010499</v>
      </c>
      <c r="I48" s="90" t="s">
        <v>1140</v>
      </c>
      <c r="J48" s="143">
        <v>256</v>
      </c>
      <c r="K48" s="143"/>
      <c r="L48" s="87">
        <v>1987</v>
      </c>
      <c r="M48" s="92" t="str">
        <f t="shared" si="2"/>
        <v/>
      </c>
      <c r="N48" s="89">
        <v>1159</v>
      </c>
      <c r="O48" s="92">
        <f t="shared" si="3"/>
        <v>0.71440897325280406</v>
      </c>
      <c r="T48" s="97"/>
    </row>
    <row r="49" spans="1:20" ht="18" customHeight="1">
      <c r="A49" s="103"/>
      <c r="B49" s="104"/>
      <c r="C49" s="104"/>
      <c r="D49" s="104"/>
      <c r="E49" s="92"/>
      <c r="F49" s="104"/>
      <c r="G49" s="92"/>
      <c r="H49" s="90">
        <v>20105</v>
      </c>
      <c r="I49" s="80" t="s">
        <v>1141</v>
      </c>
      <c r="J49" s="143">
        <v>7363</v>
      </c>
      <c r="K49" s="647">
        <v>8846</v>
      </c>
      <c r="L49" s="87">
        <v>8846</v>
      </c>
      <c r="M49" s="92">
        <f t="shared" si="2"/>
        <v>1</v>
      </c>
      <c r="N49" s="89">
        <v>6650</v>
      </c>
      <c r="O49" s="92">
        <f t="shared" si="3"/>
        <v>0.33022556390977442</v>
      </c>
      <c r="T49" s="97"/>
    </row>
    <row r="50" spans="1:20" ht="18" customHeight="1">
      <c r="A50" s="103"/>
      <c r="B50" s="104"/>
      <c r="C50" s="104"/>
      <c r="D50" s="104"/>
      <c r="E50" s="92"/>
      <c r="F50" s="104"/>
      <c r="G50" s="92"/>
      <c r="H50" s="90">
        <v>2010501</v>
      </c>
      <c r="I50" s="90" t="s">
        <v>1110</v>
      </c>
      <c r="J50" s="143">
        <v>1987</v>
      </c>
      <c r="K50" s="143"/>
      <c r="L50" s="87">
        <v>2700</v>
      </c>
      <c r="M50" s="92" t="str">
        <f t="shared" si="2"/>
        <v/>
      </c>
      <c r="N50" s="89">
        <v>1225</v>
      </c>
      <c r="O50" s="92">
        <f t="shared" si="3"/>
        <v>1.204081632653061</v>
      </c>
      <c r="T50" s="97"/>
    </row>
    <row r="51" spans="1:20" ht="18" customHeight="1">
      <c r="A51" s="103"/>
      <c r="B51" s="104"/>
      <c r="C51" s="104"/>
      <c r="D51" s="104"/>
      <c r="E51" s="92"/>
      <c r="F51" s="104"/>
      <c r="G51" s="92"/>
      <c r="H51" s="90">
        <v>2010502</v>
      </c>
      <c r="I51" s="90" t="s">
        <v>1111</v>
      </c>
      <c r="J51" s="143">
        <v>1177</v>
      </c>
      <c r="K51" s="143"/>
      <c r="L51" s="87">
        <v>1828</v>
      </c>
      <c r="M51" s="92" t="str">
        <f t="shared" si="2"/>
        <v/>
      </c>
      <c r="N51" s="89">
        <v>1615</v>
      </c>
      <c r="O51" s="92">
        <f t="shared" si="3"/>
        <v>0.13188854489164092</v>
      </c>
      <c r="T51" s="97"/>
    </row>
    <row r="52" spans="1:20" ht="18" customHeight="1">
      <c r="A52" s="103"/>
      <c r="B52" s="104"/>
      <c r="C52" s="104"/>
      <c r="D52" s="104"/>
      <c r="E52" s="92"/>
      <c r="F52" s="104"/>
      <c r="G52" s="92"/>
      <c r="H52" s="90">
        <v>2010503</v>
      </c>
      <c r="I52" s="90" t="s">
        <v>1112</v>
      </c>
      <c r="J52" s="143">
        <v>0</v>
      </c>
      <c r="K52" s="143"/>
      <c r="L52" s="89"/>
      <c r="M52" s="92" t="str">
        <f t="shared" si="2"/>
        <v/>
      </c>
      <c r="N52" s="89">
        <v>0</v>
      </c>
      <c r="O52" s="92" t="str">
        <f t="shared" si="3"/>
        <v/>
      </c>
      <c r="T52" s="97"/>
    </row>
    <row r="53" spans="1:20" ht="18" customHeight="1">
      <c r="A53" s="103"/>
      <c r="B53" s="104"/>
      <c r="C53" s="104"/>
      <c r="D53" s="104"/>
      <c r="E53" s="92"/>
      <c r="F53" s="104"/>
      <c r="G53" s="92"/>
      <c r="H53" s="90">
        <v>2010504</v>
      </c>
      <c r="I53" s="90" t="s">
        <v>1142</v>
      </c>
      <c r="J53" s="143">
        <v>142</v>
      </c>
      <c r="K53" s="143"/>
      <c r="L53" s="87">
        <v>142</v>
      </c>
      <c r="M53" s="92" t="str">
        <f t="shared" si="2"/>
        <v/>
      </c>
      <c r="N53" s="89">
        <v>100</v>
      </c>
      <c r="O53" s="92">
        <f t="shared" si="3"/>
        <v>0.41999999999999993</v>
      </c>
      <c r="T53" s="97"/>
    </row>
    <row r="54" spans="1:20" ht="18" customHeight="1">
      <c r="A54" s="103"/>
      <c r="B54" s="104"/>
      <c r="C54" s="104"/>
      <c r="D54" s="104"/>
      <c r="E54" s="92"/>
      <c r="F54" s="104"/>
      <c r="G54" s="92"/>
      <c r="H54" s="90">
        <v>2010505</v>
      </c>
      <c r="I54" s="90" t="s">
        <v>1143</v>
      </c>
      <c r="J54" s="143">
        <v>1567</v>
      </c>
      <c r="K54" s="143"/>
      <c r="L54" s="87">
        <v>1780</v>
      </c>
      <c r="M54" s="92" t="str">
        <f t="shared" si="2"/>
        <v/>
      </c>
      <c r="N54" s="89">
        <v>1661</v>
      </c>
      <c r="O54" s="92">
        <f t="shared" si="3"/>
        <v>7.1643588199879593E-2</v>
      </c>
      <c r="T54" s="97"/>
    </row>
    <row r="55" spans="1:20" ht="18" customHeight="1">
      <c r="A55" s="103"/>
      <c r="B55" s="104"/>
      <c r="C55" s="104"/>
      <c r="D55" s="104"/>
      <c r="E55" s="92"/>
      <c r="F55" s="104"/>
      <c r="G55" s="92"/>
      <c r="H55" s="90">
        <v>2010506</v>
      </c>
      <c r="I55" s="90" t="s">
        <v>1144</v>
      </c>
      <c r="J55" s="143">
        <v>753</v>
      </c>
      <c r="K55" s="143"/>
      <c r="L55" s="87">
        <v>685</v>
      </c>
      <c r="M55" s="92" t="str">
        <f t="shared" si="2"/>
        <v/>
      </c>
      <c r="N55" s="89">
        <v>581</v>
      </c>
      <c r="O55" s="92">
        <f t="shared" si="3"/>
        <v>0.17900172117039581</v>
      </c>
      <c r="T55" s="97"/>
    </row>
    <row r="56" spans="1:20" ht="18" customHeight="1">
      <c r="A56" s="103"/>
      <c r="B56" s="104"/>
      <c r="C56" s="104"/>
      <c r="D56" s="104"/>
      <c r="E56" s="92"/>
      <c r="F56" s="104"/>
      <c r="G56" s="92"/>
      <c r="H56" s="90">
        <v>2010507</v>
      </c>
      <c r="I56" s="90" t="s">
        <v>1145</v>
      </c>
      <c r="J56" s="143">
        <v>466</v>
      </c>
      <c r="K56" s="143"/>
      <c r="L56" s="87">
        <v>120</v>
      </c>
      <c r="M56" s="92" t="str">
        <f t="shared" si="2"/>
        <v/>
      </c>
      <c r="N56" s="89">
        <v>223</v>
      </c>
      <c r="O56" s="92">
        <f t="shared" si="3"/>
        <v>-0.46188340807174888</v>
      </c>
      <c r="T56" s="97"/>
    </row>
    <row r="57" spans="1:20" ht="18" customHeight="1">
      <c r="A57" s="103"/>
      <c r="B57" s="104"/>
      <c r="C57" s="104"/>
      <c r="D57" s="104"/>
      <c r="E57" s="92"/>
      <c r="F57" s="104"/>
      <c r="G57" s="92"/>
      <c r="H57" s="90">
        <v>2010508</v>
      </c>
      <c r="I57" s="90" t="s">
        <v>1146</v>
      </c>
      <c r="J57" s="143">
        <v>560</v>
      </c>
      <c r="K57" s="143"/>
      <c r="L57" s="87">
        <v>560</v>
      </c>
      <c r="M57" s="92" t="str">
        <f t="shared" si="2"/>
        <v/>
      </c>
      <c r="N57" s="89">
        <v>412</v>
      </c>
      <c r="O57" s="92">
        <f t="shared" si="3"/>
        <v>0.35922330097087385</v>
      </c>
      <c r="T57" s="97"/>
    </row>
    <row r="58" spans="1:20" ht="18" customHeight="1">
      <c r="A58" s="103"/>
      <c r="B58" s="104"/>
      <c r="C58" s="104"/>
      <c r="D58" s="104"/>
      <c r="E58" s="92"/>
      <c r="F58" s="104"/>
      <c r="G58" s="92"/>
      <c r="H58" s="90">
        <v>2010550</v>
      </c>
      <c r="I58" s="90" t="s">
        <v>1119</v>
      </c>
      <c r="J58" s="143">
        <v>711</v>
      </c>
      <c r="K58" s="143"/>
      <c r="L58" s="87">
        <v>951</v>
      </c>
      <c r="M58" s="92" t="str">
        <f t="shared" si="2"/>
        <v/>
      </c>
      <c r="N58" s="89">
        <v>756</v>
      </c>
      <c r="O58" s="92">
        <f t="shared" si="3"/>
        <v>0.25793650793650791</v>
      </c>
      <c r="T58" s="97"/>
    </row>
    <row r="59" spans="1:20" ht="18" customHeight="1">
      <c r="A59" s="103"/>
      <c r="B59" s="104"/>
      <c r="C59" s="104"/>
      <c r="D59" s="104"/>
      <c r="E59" s="92"/>
      <c r="F59" s="104"/>
      <c r="G59" s="92"/>
      <c r="H59" s="90">
        <v>2010599</v>
      </c>
      <c r="I59" s="90" t="s">
        <v>1147</v>
      </c>
      <c r="J59" s="143"/>
      <c r="K59" s="143"/>
      <c r="L59" s="87">
        <v>80</v>
      </c>
      <c r="M59" s="92" t="str">
        <f t="shared" si="2"/>
        <v/>
      </c>
      <c r="N59" s="89">
        <v>77</v>
      </c>
      <c r="O59" s="92">
        <f t="shared" si="3"/>
        <v>3.8961038961038863E-2</v>
      </c>
      <c r="T59" s="97"/>
    </row>
    <row r="60" spans="1:20" ht="18" customHeight="1">
      <c r="A60" s="103"/>
      <c r="B60" s="104"/>
      <c r="C60" s="104"/>
      <c r="D60" s="104"/>
      <c r="E60" s="92"/>
      <c r="F60" s="104"/>
      <c r="G60" s="92"/>
      <c r="H60" s="90">
        <v>20106</v>
      </c>
      <c r="I60" s="80" t="s">
        <v>1148</v>
      </c>
      <c r="J60" s="143">
        <v>12496</v>
      </c>
      <c r="K60" s="647">
        <v>74115</v>
      </c>
      <c r="L60" s="87">
        <v>73815</v>
      </c>
      <c r="M60" s="92">
        <f t="shared" si="2"/>
        <v>0.9959522363893949</v>
      </c>
      <c r="N60" s="89">
        <v>11681</v>
      </c>
      <c r="O60" s="92">
        <f t="shared" si="3"/>
        <v>5.319236366749422</v>
      </c>
      <c r="T60" s="97"/>
    </row>
    <row r="61" spans="1:20" ht="18" customHeight="1">
      <c r="A61" s="103"/>
      <c r="B61" s="104"/>
      <c r="C61" s="104"/>
      <c r="D61" s="104"/>
      <c r="E61" s="92"/>
      <c r="F61" s="104"/>
      <c r="G61" s="92"/>
      <c r="H61" s="90">
        <v>2010601</v>
      </c>
      <c r="I61" s="90" t="s">
        <v>1110</v>
      </c>
      <c r="J61" s="143">
        <v>4443</v>
      </c>
      <c r="K61" s="143"/>
      <c r="L61" s="87">
        <v>5106</v>
      </c>
      <c r="M61" s="92" t="str">
        <f t="shared" si="2"/>
        <v/>
      </c>
      <c r="N61" s="89">
        <v>4263</v>
      </c>
      <c r="O61" s="92">
        <f t="shared" si="3"/>
        <v>0.19774806474313866</v>
      </c>
      <c r="T61" s="97"/>
    </row>
    <row r="62" spans="1:20" ht="18" customHeight="1">
      <c r="A62" s="103"/>
      <c r="B62" s="104"/>
      <c r="C62" s="104"/>
      <c r="D62" s="104"/>
      <c r="E62" s="92"/>
      <c r="F62" s="104"/>
      <c r="G62" s="92"/>
      <c r="H62" s="90">
        <v>2010602</v>
      </c>
      <c r="I62" s="90" t="s">
        <v>1111</v>
      </c>
      <c r="J62" s="143">
        <v>1786</v>
      </c>
      <c r="K62" s="143"/>
      <c r="L62" s="87">
        <v>1147</v>
      </c>
      <c r="M62" s="92" t="str">
        <f t="shared" si="2"/>
        <v/>
      </c>
      <c r="N62" s="89">
        <v>1021</v>
      </c>
      <c r="O62" s="92">
        <f t="shared" si="3"/>
        <v>0.12340842311459355</v>
      </c>
      <c r="T62" s="97"/>
    </row>
    <row r="63" spans="1:20" ht="18" customHeight="1">
      <c r="A63" s="103"/>
      <c r="B63" s="104"/>
      <c r="C63" s="104"/>
      <c r="D63" s="104"/>
      <c r="E63" s="92"/>
      <c r="F63" s="104"/>
      <c r="G63" s="92"/>
      <c r="H63" s="90">
        <v>2010603</v>
      </c>
      <c r="I63" s="90" t="s">
        <v>1112</v>
      </c>
      <c r="J63" s="143">
        <v>444</v>
      </c>
      <c r="K63" s="143"/>
      <c r="L63" s="87">
        <v>436</v>
      </c>
      <c r="M63" s="92" t="str">
        <f t="shared" si="2"/>
        <v/>
      </c>
      <c r="N63" s="89">
        <v>197</v>
      </c>
      <c r="O63" s="92">
        <f t="shared" si="3"/>
        <v>1.2131979695431472</v>
      </c>
      <c r="T63" s="97"/>
    </row>
    <row r="64" spans="1:20" ht="18" customHeight="1">
      <c r="A64" s="103"/>
      <c r="B64" s="104"/>
      <c r="C64" s="104"/>
      <c r="D64" s="104"/>
      <c r="E64" s="92"/>
      <c r="F64" s="104"/>
      <c r="G64" s="92"/>
      <c r="H64" s="90">
        <v>2010604</v>
      </c>
      <c r="I64" s="90" t="s">
        <v>1149</v>
      </c>
      <c r="J64" s="143">
        <v>0</v>
      </c>
      <c r="K64" s="143"/>
      <c r="L64" s="89"/>
      <c r="M64" s="92" t="str">
        <f t="shared" si="2"/>
        <v/>
      </c>
      <c r="N64" s="89">
        <v>0</v>
      </c>
      <c r="O64" s="92" t="str">
        <f t="shared" si="3"/>
        <v/>
      </c>
      <c r="T64" s="97"/>
    </row>
    <row r="65" spans="1:20" ht="18" customHeight="1">
      <c r="A65" s="103"/>
      <c r="B65" s="104"/>
      <c r="C65" s="104"/>
      <c r="D65" s="104"/>
      <c r="E65" s="92"/>
      <c r="F65" s="104"/>
      <c r="G65" s="92"/>
      <c r="H65" s="90">
        <v>2010605</v>
      </c>
      <c r="I65" s="90" t="s">
        <v>1150</v>
      </c>
      <c r="J65" s="143">
        <v>44</v>
      </c>
      <c r="K65" s="143"/>
      <c r="L65" s="87">
        <v>2370</v>
      </c>
      <c r="M65" s="92" t="str">
        <f t="shared" si="2"/>
        <v/>
      </c>
      <c r="N65" s="89">
        <v>2395</v>
      </c>
      <c r="O65" s="92">
        <f t="shared" si="3"/>
        <v>-1.043841336116913E-2</v>
      </c>
      <c r="T65" s="97"/>
    </row>
    <row r="66" spans="1:20" ht="18" customHeight="1">
      <c r="A66" s="103"/>
      <c r="B66" s="104"/>
      <c r="C66" s="104"/>
      <c r="D66" s="104"/>
      <c r="E66" s="92"/>
      <c r="F66" s="104"/>
      <c r="G66" s="92"/>
      <c r="H66" s="90">
        <v>2010606</v>
      </c>
      <c r="I66" s="90" t="s">
        <v>1151</v>
      </c>
      <c r="J66" s="143">
        <v>521</v>
      </c>
      <c r="K66" s="143"/>
      <c r="L66" s="87">
        <v>367</v>
      </c>
      <c r="M66" s="92" t="str">
        <f t="shared" si="2"/>
        <v/>
      </c>
      <c r="N66" s="89">
        <v>721</v>
      </c>
      <c r="O66" s="92">
        <f t="shared" si="3"/>
        <v>-0.49098474341192788</v>
      </c>
      <c r="T66" s="97"/>
    </row>
    <row r="67" spans="1:20" ht="18" customHeight="1">
      <c r="A67" s="103"/>
      <c r="B67" s="104"/>
      <c r="C67" s="104"/>
      <c r="D67" s="104"/>
      <c r="E67" s="92"/>
      <c r="F67" s="104"/>
      <c r="G67" s="92"/>
      <c r="H67" s="90">
        <v>2010607</v>
      </c>
      <c r="I67" s="90" t="s">
        <v>1152</v>
      </c>
      <c r="J67" s="143">
        <v>1037</v>
      </c>
      <c r="K67" s="143"/>
      <c r="L67" s="87">
        <v>1627</v>
      </c>
      <c r="M67" s="92" t="str">
        <f t="shared" si="2"/>
        <v/>
      </c>
      <c r="N67" s="89">
        <v>290</v>
      </c>
      <c r="O67" s="92">
        <f t="shared" si="3"/>
        <v>4.6103448275862071</v>
      </c>
      <c r="T67" s="97"/>
    </row>
    <row r="68" spans="1:20" ht="18" customHeight="1">
      <c r="A68" s="103"/>
      <c r="B68" s="104"/>
      <c r="C68" s="104"/>
      <c r="D68" s="104"/>
      <c r="E68" s="92"/>
      <c r="F68" s="104"/>
      <c r="G68" s="92"/>
      <c r="H68" s="90">
        <v>2010608</v>
      </c>
      <c r="I68" s="90" t="s">
        <v>1153</v>
      </c>
      <c r="J68" s="143">
        <v>31</v>
      </c>
      <c r="K68" s="143"/>
      <c r="L68" s="87">
        <v>22</v>
      </c>
      <c r="M68" s="92" t="str">
        <f t="shared" si="2"/>
        <v/>
      </c>
      <c r="N68" s="89">
        <v>0</v>
      </c>
      <c r="O68" s="92" t="str">
        <f t="shared" si="3"/>
        <v/>
      </c>
      <c r="T68" s="97"/>
    </row>
    <row r="69" spans="1:20" ht="18" customHeight="1">
      <c r="A69" s="103"/>
      <c r="B69" s="104"/>
      <c r="C69" s="104"/>
      <c r="D69" s="104"/>
      <c r="E69" s="92"/>
      <c r="F69" s="104"/>
      <c r="G69" s="92"/>
      <c r="H69" s="90">
        <v>2010650</v>
      </c>
      <c r="I69" s="90" t="s">
        <v>1119</v>
      </c>
      <c r="J69" s="143">
        <v>0</v>
      </c>
      <c r="K69" s="143"/>
      <c r="L69" s="87"/>
      <c r="M69" s="92" t="str">
        <f t="shared" si="2"/>
        <v/>
      </c>
      <c r="N69" s="89">
        <v>0</v>
      </c>
      <c r="O69" s="92" t="str">
        <f t="shared" si="3"/>
        <v/>
      </c>
      <c r="T69" s="97"/>
    </row>
    <row r="70" spans="1:20" ht="18" customHeight="1">
      <c r="A70" s="103"/>
      <c r="B70" s="104"/>
      <c r="C70" s="104"/>
      <c r="D70" s="104"/>
      <c r="E70" s="92"/>
      <c r="F70" s="104"/>
      <c r="G70" s="92"/>
      <c r="H70" s="90">
        <v>2010699</v>
      </c>
      <c r="I70" s="90" t="s">
        <v>1154</v>
      </c>
      <c r="J70" s="143">
        <v>4190</v>
      </c>
      <c r="K70" s="143"/>
      <c r="L70" s="87">
        <v>62740</v>
      </c>
      <c r="M70" s="92" t="str">
        <f t="shared" ref="M70:M133" si="4">+IF(ISERROR(L70/K70),"",L70/K70)</f>
        <v/>
      </c>
      <c r="N70" s="89">
        <v>2794</v>
      </c>
      <c r="O70" s="92">
        <f t="shared" si="3"/>
        <v>21.455261274158911</v>
      </c>
      <c r="T70" s="97"/>
    </row>
    <row r="71" spans="1:20" ht="18" customHeight="1">
      <c r="A71" s="103"/>
      <c r="B71" s="104"/>
      <c r="C71" s="104"/>
      <c r="D71" s="104"/>
      <c r="E71" s="92"/>
      <c r="F71" s="104"/>
      <c r="G71" s="92"/>
      <c r="H71" s="90">
        <v>20107</v>
      </c>
      <c r="I71" s="80" t="s">
        <v>1155</v>
      </c>
      <c r="J71" s="108">
        <v>206229</v>
      </c>
      <c r="K71" s="647">
        <v>221782</v>
      </c>
      <c r="L71" s="87">
        <v>208638</v>
      </c>
      <c r="M71" s="92">
        <f t="shared" si="4"/>
        <v>0.94073459523315683</v>
      </c>
      <c r="N71" s="89">
        <v>203484</v>
      </c>
      <c r="O71" s="92">
        <f t="shared" ref="O71:O134" si="5">IF(ISERROR(L71/N71-1),"",(L71/N71-1))</f>
        <v>2.5328772778203668E-2</v>
      </c>
      <c r="T71" s="97"/>
    </row>
    <row r="72" spans="1:20" ht="18" customHeight="1">
      <c r="A72" s="103"/>
      <c r="B72" s="104"/>
      <c r="C72" s="104"/>
      <c r="D72" s="104"/>
      <c r="E72" s="92"/>
      <c r="F72" s="104"/>
      <c r="G72" s="92"/>
      <c r="H72" s="90">
        <v>2010701</v>
      </c>
      <c r="I72" s="90" t="s">
        <v>1110</v>
      </c>
      <c r="J72" s="143">
        <v>51691</v>
      </c>
      <c r="K72" s="143"/>
      <c r="L72" s="87">
        <v>59440</v>
      </c>
      <c r="M72" s="92" t="str">
        <f t="shared" si="4"/>
        <v/>
      </c>
      <c r="N72" s="89">
        <v>53768</v>
      </c>
      <c r="O72" s="92">
        <f t="shared" si="5"/>
        <v>0.10549025442642468</v>
      </c>
      <c r="T72" s="97"/>
    </row>
    <row r="73" spans="1:20" ht="18" customHeight="1">
      <c r="A73" s="103"/>
      <c r="B73" s="104"/>
      <c r="C73" s="104"/>
      <c r="D73" s="104"/>
      <c r="E73" s="92"/>
      <c r="F73" s="104"/>
      <c r="G73" s="92"/>
      <c r="H73" s="90">
        <v>2010702</v>
      </c>
      <c r="I73" s="90" t="s">
        <v>1111</v>
      </c>
      <c r="J73" s="143">
        <v>2273</v>
      </c>
      <c r="K73" s="143"/>
      <c r="L73" s="87">
        <v>2092</v>
      </c>
      <c r="M73" s="92" t="str">
        <f t="shared" si="4"/>
        <v/>
      </c>
      <c r="N73" s="89">
        <v>2155</v>
      </c>
      <c r="O73" s="92">
        <f t="shared" si="5"/>
        <v>-2.9234338747099797E-2</v>
      </c>
      <c r="T73" s="97"/>
    </row>
    <row r="74" spans="1:20" ht="18" customHeight="1">
      <c r="A74" s="103"/>
      <c r="B74" s="104"/>
      <c r="C74" s="104"/>
      <c r="D74" s="104"/>
      <c r="E74" s="92"/>
      <c r="F74" s="104"/>
      <c r="G74" s="92"/>
      <c r="H74" s="90">
        <v>2010703</v>
      </c>
      <c r="I74" s="90" t="s">
        <v>1112</v>
      </c>
      <c r="J74" s="143">
        <v>4410</v>
      </c>
      <c r="K74" s="143"/>
      <c r="L74" s="87">
        <v>4366</v>
      </c>
      <c r="M74" s="92" t="str">
        <f t="shared" si="4"/>
        <v/>
      </c>
      <c r="N74" s="89">
        <v>3491</v>
      </c>
      <c r="O74" s="92">
        <f t="shared" si="5"/>
        <v>0.25064451446576919</v>
      </c>
      <c r="T74" s="97"/>
    </row>
    <row r="75" spans="1:20" ht="18" customHeight="1">
      <c r="A75" s="103"/>
      <c r="B75" s="104"/>
      <c r="C75" s="104"/>
      <c r="D75" s="104"/>
      <c r="E75" s="92"/>
      <c r="F75" s="104"/>
      <c r="G75" s="92"/>
      <c r="H75" s="90">
        <v>2010704</v>
      </c>
      <c r="I75" s="90" t="s">
        <v>1156</v>
      </c>
      <c r="J75" s="143">
        <v>193</v>
      </c>
      <c r="K75" s="143"/>
      <c r="L75" s="87">
        <v>164</v>
      </c>
      <c r="M75" s="92" t="str">
        <f t="shared" si="4"/>
        <v/>
      </c>
      <c r="N75" s="89">
        <v>571</v>
      </c>
      <c r="O75" s="92">
        <f t="shared" si="5"/>
        <v>-0.71278458844133108</v>
      </c>
      <c r="T75" s="97"/>
    </row>
    <row r="76" spans="1:20" ht="18" customHeight="1">
      <c r="A76" s="103"/>
      <c r="B76" s="104"/>
      <c r="C76" s="104"/>
      <c r="D76" s="104"/>
      <c r="E76" s="92"/>
      <c r="F76" s="104"/>
      <c r="G76" s="92"/>
      <c r="H76" s="90">
        <v>2010705</v>
      </c>
      <c r="I76" s="90" t="s">
        <v>1157</v>
      </c>
      <c r="J76" s="143">
        <v>6200</v>
      </c>
      <c r="K76" s="143"/>
      <c r="L76" s="87">
        <v>6200</v>
      </c>
      <c r="M76" s="92" t="str">
        <f t="shared" si="4"/>
        <v/>
      </c>
      <c r="N76" s="89">
        <v>7459</v>
      </c>
      <c r="O76" s="92">
        <f t="shared" si="5"/>
        <v>-0.16878938195468562</v>
      </c>
      <c r="T76" s="97"/>
    </row>
    <row r="77" spans="1:20" ht="18" customHeight="1">
      <c r="A77" s="103"/>
      <c r="B77" s="104"/>
      <c r="C77" s="104"/>
      <c r="D77" s="104"/>
      <c r="E77" s="92"/>
      <c r="F77" s="104"/>
      <c r="G77" s="92"/>
      <c r="H77" s="90">
        <v>2010706</v>
      </c>
      <c r="I77" s="90" t="s">
        <v>1158</v>
      </c>
      <c r="J77" s="143">
        <v>0</v>
      </c>
      <c r="K77" s="143"/>
      <c r="L77" s="87">
        <v>65185</v>
      </c>
      <c r="M77" s="92" t="str">
        <f t="shared" si="4"/>
        <v/>
      </c>
      <c r="N77" s="89">
        <v>75860</v>
      </c>
      <c r="O77" s="92">
        <f t="shared" si="5"/>
        <v>-0.14071974690218825</v>
      </c>
      <c r="T77" s="97"/>
    </row>
    <row r="78" spans="1:20" ht="18" customHeight="1">
      <c r="A78" s="103"/>
      <c r="B78" s="104"/>
      <c r="C78" s="104"/>
      <c r="D78" s="104"/>
      <c r="E78" s="92"/>
      <c r="F78" s="104"/>
      <c r="G78" s="92"/>
      <c r="H78" s="90">
        <v>2010707</v>
      </c>
      <c r="I78" s="90" t="s">
        <v>1159</v>
      </c>
      <c r="J78" s="143">
        <v>445</v>
      </c>
      <c r="K78" s="143"/>
      <c r="L78" s="87">
        <v>410</v>
      </c>
      <c r="M78" s="92" t="str">
        <f t="shared" si="4"/>
        <v/>
      </c>
      <c r="N78" s="89">
        <v>671</v>
      </c>
      <c r="O78" s="92">
        <f t="shared" si="5"/>
        <v>-0.38897168405365123</v>
      </c>
      <c r="T78" s="97"/>
    </row>
    <row r="79" spans="1:20" ht="18" customHeight="1">
      <c r="A79" s="103"/>
      <c r="B79" s="104"/>
      <c r="C79" s="104"/>
      <c r="D79" s="104"/>
      <c r="E79" s="92"/>
      <c r="F79" s="104"/>
      <c r="G79" s="92"/>
      <c r="H79" s="90">
        <v>2010708</v>
      </c>
      <c r="I79" s="90" t="s">
        <v>1160</v>
      </c>
      <c r="J79" s="143">
        <v>0</v>
      </c>
      <c r="K79" s="143"/>
      <c r="L79" s="94"/>
      <c r="M79" s="92" t="str">
        <f t="shared" si="4"/>
        <v/>
      </c>
      <c r="N79" s="94">
        <v>35</v>
      </c>
      <c r="O79" s="92">
        <f t="shared" si="5"/>
        <v>-1</v>
      </c>
      <c r="T79" s="97"/>
    </row>
    <row r="80" spans="1:20" ht="18" customHeight="1">
      <c r="A80" s="103"/>
      <c r="B80" s="104"/>
      <c r="C80" s="104"/>
      <c r="D80" s="104"/>
      <c r="E80" s="92"/>
      <c r="F80" s="104"/>
      <c r="G80" s="92"/>
      <c r="H80" s="90">
        <v>2010709</v>
      </c>
      <c r="I80" s="90" t="s">
        <v>1152</v>
      </c>
      <c r="J80" s="143">
        <v>748</v>
      </c>
      <c r="K80" s="143"/>
      <c r="L80" s="87">
        <v>1267</v>
      </c>
      <c r="M80" s="92" t="str">
        <f t="shared" si="4"/>
        <v/>
      </c>
      <c r="N80" s="89">
        <v>965</v>
      </c>
      <c r="O80" s="92">
        <f t="shared" si="5"/>
        <v>0.31295336787564776</v>
      </c>
      <c r="T80" s="97"/>
    </row>
    <row r="81" spans="1:20" ht="18" customHeight="1">
      <c r="A81" s="103"/>
      <c r="B81" s="104"/>
      <c r="C81" s="104"/>
      <c r="D81" s="104"/>
      <c r="E81" s="92"/>
      <c r="F81" s="104"/>
      <c r="G81" s="92"/>
      <c r="H81" s="90">
        <v>2010750</v>
      </c>
      <c r="I81" s="90" t="s">
        <v>1119</v>
      </c>
      <c r="J81" s="143">
        <v>0</v>
      </c>
      <c r="K81" s="143"/>
      <c r="L81" s="89"/>
      <c r="M81" s="92" t="str">
        <f t="shared" si="4"/>
        <v/>
      </c>
      <c r="N81" s="89">
        <v>0</v>
      </c>
      <c r="O81" s="92" t="str">
        <f t="shared" si="5"/>
        <v/>
      </c>
      <c r="T81" s="97"/>
    </row>
    <row r="82" spans="1:20" ht="18" customHeight="1">
      <c r="A82" s="103"/>
      <c r="B82" s="104"/>
      <c r="C82" s="104"/>
      <c r="D82" s="104"/>
      <c r="E82" s="92"/>
      <c r="F82" s="104"/>
      <c r="G82" s="92"/>
      <c r="H82" s="90">
        <v>2010799</v>
      </c>
      <c r="I82" s="90" t="s">
        <v>1161</v>
      </c>
      <c r="J82" s="143">
        <v>140269</v>
      </c>
      <c r="K82" s="143"/>
      <c r="L82" s="87">
        <v>69514</v>
      </c>
      <c r="M82" s="92" t="str">
        <f t="shared" si="4"/>
        <v/>
      </c>
      <c r="N82" s="89">
        <v>58509</v>
      </c>
      <c r="O82" s="92">
        <f t="shared" si="5"/>
        <v>0.18809072108564484</v>
      </c>
      <c r="T82" s="97"/>
    </row>
    <row r="83" spans="1:20" ht="18" customHeight="1">
      <c r="A83" s="103"/>
      <c r="B83" s="104"/>
      <c r="C83" s="104"/>
      <c r="D83" s="104"/>
      <c r="E83" s="92"/>
      <c r="F83" s="104"/>
      <c r="G83" s="92"/>
      <c r="H83" s="90">
        <v>20108</v>
      </c>
      <c r="I83" s="80" t="s">
        <v>1162</v>
      </c>
      <c r="J83" s="143">
        <v>7186</v>
      </c>
      <c r="K83" s="647">
        <v>8166</v>
      </c>
      <c r="L83" s="87">
        <v>7993</v>
      </c>
      <c r="M83" s="92">
        <f t="shared" si="4"/>
        <v>0.97881459710996821</v>
      </c>
      <c r="N83" s="89">
        <v>6254</v>
      </c>
      <c r="O83" s="92">
        <f t="shared" si="5"/>
        <v>0.27806204029421178</v>
      </c>
      <c r="T83" s="97"/>
    </row>
    <row r="84" spans="1:20" ht="18" customHeight="1">
      <c r="A84" s="103"/>
      <c r="B84" s="104"/>
      <c r="C84" s="104"/>
      <c r="D84" s="104"/>
      <c r="E84" s="92"/>
      <c r="F84" s="104"/>
      <c r="G84" s="92"/>
      <c r="H84" s="90">
        <v>2010801</v>
      </c>
      <c r="I84" s="90" t="s">
        <v>1110</v>
      </c>
      <c r="J84" s="143">
        <v>4432</v>
      </c>
      <c r="K84" s="143"/>
      <c r="L84" s="87">
        <v>5511</v>
      </c>
      <c r="M84" s="92" t="str">
        <f t="shared" si="4"/>
        <v/>
      </c>
      <c r="N84" s="89">
        <v>4766</v>
      </c>
      <c r="O84" s="92">
        <f t="shared" si="5"/>
        <v>0.15631556861099449</v>
      </c>
      <c r="T84" s="97"/>
    </row>
    <row r="85" spans="1:20" ht="18" customHeight="1">
      <c r="A85" s="103"/>
      <c r="B85" s="104"/>
      <c r="C85" s="104"/>
      <c r="D85" s="104"/>
      <c r="E85" s="92"/>
      <c r="F85" s="104"/>
      <c r="G85" s="92"/>
      <c r="H85" s="90">
        <v>2010802</v>
      </c>
      <c r="I85" s="90" t="s">
        <v>1111</v>
      </c>
      <c r="J85" s="143">
        <v>0</v>
      </c>
      <c r="K85" s="143"/>
      <c r="L85" s="89"/>
      <c r="M85" s="92" t="str">
        <f t="shared" si="4"/>
        <v/>
      </c>
      <c r="N85" s="89">
        <v>0</v>
      </c>
      <c r="O85" s="92" t="str">
        <f t="shared" si="5"/>
        <v/>
      </c>
      <c r="T85" s="97"/>
    </row>
    <row r="86" spans="1:20" ht="18" customHeight="1">
      <c r="A86" s="103"/>
      <c r="B86" s="104"/>
      <c r="C86" s="104"/>
      <c r="D86" s="104"/>
      <c r="E86" s="92"/>
      <c r="F86" s="104"/>
      <c r="G86" s="92"/>
      <c r="H86" s="90">
        <v>2010803</v>
      </c>
      <c r="I86" s="90" t="s">
        <v>1112</v>
      </c>
      <c r="J86" s="143">
        <v>0</v>
      </c>
      <c r="K86" s="143"/>
      <c r="L86" s="89"/>
      <c r="M86" s="92" t="str">
        <f t="shared" si="4"/>
        <v/>
      </c>
      <c r="N86" s="89">
        <v>0</v>
      </c>
      <c r="O86" s="92" t="str">
        <f t="shared" si="5"/>
        <v/>
      </c>
      <c r="T86" s="97"/>
    </row>
    <row r="87" spans="1:20" ht="18" customHeight="1">
      <c r="A87" s="103"/>
      <c r="B87" s="104"/>
      <c r="C87" s="104"/>
      <c r="D87" s="104"/>
      <c r="E87" s="92"/>
      <c r="F87" s="104"/>
      <c r="G87" s="92"/>
      <c r="H87" s="90">
        <v>2010804</v>
      </c>
      <c r="I87" s="90" t="s">
        <v>1163</v>
      </c>
      <c r="J87" s="143">
        <v>2306</v>
      </c>
      <c r="K87" s="143"/>
      <c r="L87" s="87">
        <v>2182</v>
      </c>
      <c r="M87" s="92" t="str">
        <f t="shared" si="4"/>
        <v/>
      </c>
      <c r="N87" s="89">
        <v>1362</v>
      </c>
      <c r="O87" s="92">
        <f t="shared" si="5"/>
        <v>0.60205580029368577</v>
      </c>
      <c r="T87" s="97"/>
    </row>
    <row r="88" spans="1:20" ht="18" customHeight="1">
      <c r="A88" s="103"/>
      <c r="B88" s="104"/>
      <c r="C88" s="104"/>
      <c r="D88" s="104"/>
      <c r="E88" s="92"/>
      <c r="F88" s="104"/>
      <c r="G88" s="92"/>
      <c r="H88" s="90">
        <v>2010805</v>
      </c>
      <c r="I88" s="90" t="s">
        <v>1164</v>
      </c>
      <c r="J88" s="143">
        <v>24</v>
      </c>
      <c r="K88" s="143"/>
      <c r="L88" s="87">
        <v>19</v>
      </c>
      <c r="M88" s="92" t="str">
        <f t="shared" si="4"/>
        <v/>
      </c>
      <c r="N88" s="89">
        <v>8</v>
      </c>
      <c r="O88" s="92">
        <f t="shared" si="5"/>
        <v>1.375</v>
      </c>
      <c r="T88" s="97"/>
    </row>
    <row r="89" spans="1:20" ht="18" customHeight="1">
      <c r="A89" s="103"/>
      <c r="B89" s="104"/>
      <c r="C89" s="104"/>
      <c r="D89" s="104"/>
      <c r="E89" s="92"/>
      <c r="F89" s="104"/>
      <c r="G89" s="92"/>
      <c r="H89" s="90">
        <v>2010806</v>
      </c>
      <c r="I89" s="90" t="s">
        <v>1152</v>
      </c>
      <c r="J89" s="143">
        <v>0</v>
      </c>
      <c r="K89" s="143"/>
      <c r="L89" s="89"/>
      <c r="M89" s="92" t="str">
        <f t="shared" si="4"/>
        <v/>
      </c>
      <c r="N89" s="89">
        <v>0</v>
      </c>
      <c r="O89" s="92" t="str">
        <f t="shared" si="5"/>
        <v/>
      </c>
      <c r="T89" s="97"/>
    </row>
    <row r="90" spans="1:20" ht="18" customHeight="1">
      <c r="A90" s="103"/>
      <c r="B90" s="104"/>
      <c r="C90" s="104"/>
      <c r="D90" s="104"/>
      <c r="E90" s="92"/>
      <c r="F90" s="104"/>
      <c r="G90" s="92"/>
      <c r="H90" s="90">
        <v>2010850</v>
      </c>
      <c r="I90" s="90" t="s">
        <v>1119</v>
      </c>
      <c r="J90" s="143">
        <v>0</v>
      </c>
      <c r="K90" s="143"/>
      <c r="L90" s="89"/>
      <c r="M90" s="92" t="str">
        <f t="shared" si="4"/>
        <v/>
      </c>
      <c r="N90" s="89">
        <v>0</v>
      </c>
      <c r="O90" s="92" t="str">
        <f t="shared" si="5"/>
        <v/>
      </c>
      <c r="T90" s="97"/>
    </row>
    <row r="91" spans="1:20" ht="18" customHeight="1">
      <c r="A91" s="103"/>
      <c r="B91" s="104"/>
      <c r="C91" s="104"/>
      <c r="D91" s="104"/>
      <c r="E91" s="92"/>
      <c r="F91" s="104"/>
      <c r="G91" s="92"/>
      <c r="H91" s="90">
        <v>2010899</v>
      </c>
      <c r="I91" s="90" t="s">
        <v>1165</v>
      </c>
      <c r="J91" s="143">
        <v>424</v>
      </c>
      <c r="K91" s="143"/>
      <c r="L91" s="87">
        <v>281</v>
      </c>
      <c r="M91" s="92" t="str">
        <f t="shared" si="4"/>
        <v/>
      </c>
      <c r="N91" s="89">
        <v>118</v>
      </c>
      <c r="O91" s="92">
        <f t="shared" si="5"/>
        <v>1.3813559322033897</v>
      </c>
      <c r="T91" s="97"/>
    </row>
    <row r="92" spans="1:20" ht="18" customHeight="1">
      <c r="A92" s="103"/>
      <c r="B92" s="104"/>
      <c r="C92" s="104"/>
      <c r="D92" s="104"/>
      <c r="E92" s="92"/>
      <c r="F92" s="104"/>
      <c r="G92" s="92"/>
      <c r="H92" s="90">
        <v>20109</v>
      </c>
      <c r="I92" s="80" t="s">
        <v>1166</v>
      </c>
      <c r="J92" s="143">
        <v>3500</v>
      </c>
      <c r="K92" s="647">
        <v>20734</v>
      </c>
      <c r="L92" s="87">
        <v>15734</v>
      </c>
      <c r="M92" s="92">
        <f t="shared" si="4"/>
        <v>0.75885019774283791</v>
      </c>
      <c r="N92" s="89">
        <v>16328</v>
      </c>
      <c r="O92" s="92">
        <f t="shared" si="5"/>
        <v>-3.6379225869671683E-2</v>
      </c>
      <c r="T92" s="97"/>
    </row>
    <row r="93" spans="1:20" ht="18" customHeight="1">
      <c r="A93" s="103"/>
      <c r="B93" s="104"/>
      <c r="C93" s="104"/>
      <c r="D93" s="104"/>
      <c r="E93" s="92"/>
      <c r="F93" s="104"/>
      <c r="G93" s="92"/>
      <c r="H93" s="90">
        <v>2010901</v>
      </c>
      <c r="I93" s="90" t="s">
        <v>1110</v>
      </c>
      <c r="J93" s="94"/>
      <c r="K93" s="94"/>
      <c r="L93" s="89"/>
      <c r="M93" s="92" t="str">
        <f t="shared" si="4"/>
        <v/>
      </c>
      <c r="N93" s="89">
        <v>0</v>
      </c>
      <c r="O93" s="92" t="str">
        <f t="shared" si="5"/>
        <v/>
      </c>
      <c r="T93" s="97"/>
    </row>
    <row r="94" spans="1:20" ht="18" customHeight="1">
      <c r="A94" s="103"/>
      <c r="B94" s="104"/>
      <c r="C94" s="104"/>
      <c r="D94" s="104"/>
      <c r="E94" s="92"/>
      <c r="F94" s="104"/>
      <c r="G94" s="92"/>
      <c r="H94" s="90">
        <v>2010902</v>
      </c>
      <c r="I94" s="90" t="s">
        <v>1111</v>
      </c>
      <c r="J94" s="94"/>
      <c r="K94" s="94"/>
      <c r="L94" s="89"/>
      <c r="M94" s="92" t="str">
        <f t="shared" si="4"/>
        <v/>
      </c>
      <c r="N94" s="89">
        <v>0</v>
      </c>
      <c r="O94" s="92" t="str">
        <f t="shared" si="5"/>
        <v/>
      </c>
      <c r="T94" s="97"/>
    </row>
    <row r="95" spans="1:20" ht="18" customHeight="1">
      <c r="A95" s="103"/>
      <c r="B95" s="104"/>
      <c r="C95" s="104"/>
      <c r="D95" s="104"/>
      <c r="E95" s="92"/>
      <c r="F95" s="104"/>
      <c r="G95" s="92"/>
      <c r="H95" s="90">
        <v>2010903</v>
      </c>
      <c r="I95" s="90" t="s">
        <v>1112</v>
      </c>
      <c r="J95" s="94"/>
      <c r="K95" s="94"/>
      <c r="L95" s="89"/>
      <c r="M95" s="92" t="str">
        <f t="shared" si="4"/>
        <v/>
      </c>
      <c r="N95" s="89">
        <v>0</v>
      </c>
      <c r="O95" s="92" t="str">
        <f t="shared" si="5"/>
        <v/>
      </c>
      <c r="T95" s="97"/>
    </row>
    <row r="96" spans="1:20" ht="18" customHeight="1">
      <c r="A96" s="103"/>
      <c r="B96" s="104"/>
      <c r="C96" s="104"/>
      <c r="D96" s="104"/>
      <c r="E96" s="92"/>
      <c r="F96" s="104"/>
      <c r="G96" s="92"/>
      <c r="H96" s="90">
        <v>2010904</v>
      </c>
      <c r="I96" s="90" t="s">
        <v>1167</v>
      </c>
      <c r="J96" s="94"/>
      <c r="K96" s="94"/>
      <c r="L96" s="89"/>
      <c r="M96" s="92" t="str">
        <f t="shared" si="4"/>
        <v/>
      </c>
      <c r="N96" s="89">
        <v>0</v>
      </c>
      <c r="O96" s="92" t="str">
        <f t="shared" si="5"/>
        <v/>
      </c>
      <c r="T96" s="97"/>
    </row>
    <row r="97" spans="1:20" ht="18" customHeight="1">
      <c r="A97" s="103"/>
      <c r="B97" s="104"/>
      <c r="C97" s="104"/>
      <c r="D97" s="104"/>
      <c r="E97" s="92"/>
      <c r="F97" s="104"/>
      <c r="G97" s="92"/>
      <c r="H97" s="90">
        <v>2010905</v>
      </c>
      <c r="I97" s="90" t="s">
        <v>1168</v>
      </c>
      <c r="J97" s="94"/>
      <c r="K97" s="94"/>
      <c r="L97" s="89"/>
      <c r="M97" s="92" t="str">
        <f t="shared" si="4"/>
        <v/>
      </c>
      <c r="N97" s="89">
        <v>0</v>
      </c>
      <c r="O97" s="92" t="str">
        <f t="shared" si="5"/>
        <v/>
      </c>
      <c r="T97" s="97"/>
    </row>
    <row r="98" spans="1:20" ht="18" customHeight="1">
      <c r="A98" s="103"/>
      <c r="B98" s="104"/>
      <c r="C98" s="104"/>
      <c r="D98" s="104"/>
      <c r="E98" s="92"/>
      <c r="F98" s="104"/>
      <c r="G98" s="92"/>
      <c r="H98" s="90">
        <v>2010907</v>
      </c>
      <c r="I98" s="90" t="s">
        <v>1169</v>
      </c>
      <c r="J98" s="94"/>
      <c r="K98" s="94"/>
      <c r="L98" s="89"/>
      <c r="M98" s="92" t="str">
        <f t="shared" si="4"/>
        <v/>
      </c>
      <c r="N98" s="89">
        <v>0</v>
      </c>
      <c r="O98" s="92" t="str">
        <f t="shared" si="5"/>
        <v/>
      </c>
      <c r="T98" s="97"/>
    </row>
    <row r="99" spans="1:20" ht="18" customHeight="1">
      <c r="A99" s="103"/>
      <c r="B99" s="104"/>
      <c r="C99" s="104"/>
      <c r="D99" s="104"/>
      <c r="E99" s="92"/>
      <c r="F99" s="104"/>
      <c r="G99" s="92"/>
      <c r="H99" s="90">
        <v>2010908</v>
      </c>
      <c r="I99" s="90" t="s">
        <v>1152</v>
      </c>
      <c r="J99" s="94"/>
      <c r="K99" s="94"/>
      <c r="L99" s="89"/>
      <c r="M99" s="92" t="str">
        <f t="shared" si="4"/>
        <v/>
      </c>
      <c r="N99" s="89">
        <v>0</v>
      </c>
      <c r="O99" s="92" t="str">
        <f t="shared" si="5"/>
        <v/>
      </c>
      <c r="T99" s="97"/>
    </row>
    <row r="100" spans="1:20" ht="18" customHeight="1">
      <c r="A100" s="103"/>
      <c r="B100" s="104"/>
      <c r="C100" s="104"/>
      <c r="D100" s="104"/>
      <c r="E100" s="92"/>
      <c r="F100" s="104"/>
      <c r="G100" s="92"/>
      <c r="H100" s="90">
        <v>2010950</v>
      </c>
      <c r="I100" s="90" t="s">
        <v>1119</v>
      </c>
      <c r="J100" s="94"/>
      <c r="K100" s="94"/>
      <c r="L100" s="89"/>
      <c r="M100" s="92" t="str">
        <f t="shared" si="4"/>
        <v/>
      </c>
      <c r="N100" s="89">
        <v>0</v>
      </c>
      <c r="O100" s="92" t="str">
        <f t="shared" si="5"/>
        <v/>
      </c>
      <c r="T100" s="97"/>
    </row>
    <row r="101" spans="1:20" ht="18" customHeight="1">
      <c r="A101" s="103"/>
      <c r="B101" s="104"/>
      <c r="C101" s="104"/>
      <c r="D101" s="104"/>
      <c r="E101" s="92"/>
      <c r="F101" s="104"/>
      <c r="G101" s="92"/>
      <c r="H101" s="90">
        <v>2010999</v>
      </c>
      <c r="I101" s="90" t="s">
        <v>1170</v>
      </c>
      <c r="J101" s="143">
        <v>3500</v>
      </c>
      <c r="K101" s="143"/>
      <c r="L101" s="87">
        <v>15734</v>
      </c>
      <c r="M101" s="92" t="str">
        <f t="shared" si="4"/>
        <v/>
      </c>
      <c r="N101" s="89">
        <v>16328</v>
      </c>
      <c r="O101" s="92">
        <f t="shared" si="5"/>
        <v>-3.6379225869671683E-2</v>
      </c>
      <c r="T101" s="97"/>
    </row>
    <row r="102" spans="1:20" ht="18" customHeight="1">
      <c r="A102" s="103"/>
      <c r="B102" s="104"/>
      <c r="C102" s="104"/>
      <c r="D102" s="104"/>
      <c r="E102" s="92"/>
      <c r="F102" s="104"/>
      <c r="G102" s="92"/>
      <c r="H102" s="90">
        <v>20110</v>
      </c>
      <c r="I102" s="80" t="s">
        <v>1171</v>
      </c>
      <c r="J102" s="143">
        <v>43792</v>
      </c>
      <c r="K102" s="647">
        <v>45875</v>
      </c>
      <c r="L102" s="87">
        <v>45243</v>
      </c>
      <c r="M102" s="92">
        <f t="shared" si="4"/>
        <v>0.98622343324250683</v>
      </c>
      <c r="N102" s="89">
        <v>27477</v>
      </c>
      <c r="O102" s="92">
        <f t="shared" si="5"/>
        <v>0.64657713724205701</v>
      </c>
      <c r="T102" s="97"/>
    </row>
    <row r="103" spans="1:20" ht="18" customHeight="1">
      <c r="A103" s="103"/>
      <c r="B103" s="104"/>
      <c r="C103" s="104"/>
      <c r="D103" s="104"/>
      <c r="E103" s="92"/>
      <c r="F103" s="104"/>
      <c r="G103" s="92"/>
      <c r="H103" s="90">
        <v>2011001</v>
      </c>
      <c r="I103" s="90" t="s">
        <v>1110</v>
      </c>
      <c r="J103" s="143">
        <v>971</v>
      </c>
      <c r="K103" s="143"/>
      <c r="L103" s="87">
        <v>1174</v>
      </c>
      <c r="M103" s="92" t="str">
        <f t="shared" si="4"/>
        <v/>
      </c>
      <c r="N103" s="89">
        <v>877</v>
      </c>
      <c r="O103" s="92">
        <f t="shared" si="5"/>
        <v>0.33865450399087793</v>
      </c>
      <c r="T103" s="97"/>
    </row>
    <row r="104" spans="1:20" ht="18" customHeight="1">
      <c r="A104" s="103"/>
      <c r="B104" s="104"/>
      <c r="C104" s="104"/>
      <c r="D104" s="104"/>
      <c r="E104" s="92"/>
      <c r="F104" s="104"/>
      <c r="G104" s="92"/>
      <c r="H104" s="90">
        <v>2011002</v>
      </c>
      <c r="I104" s="90" t="s">
        <v>1111</v>
      </c>
      <c r="J104" s="143">
        <v>639</v>
      </c>
      <c r="K104" s="143"/>
      <c r="L104" s="87">
        <v>438</v>
      </c>
      <c r="M104" s="92" t="str">
        <f t="shared" si="4"/>
        <v/>
      </c>
      <c r="N104" s="89">
        <v>190</v>
      </c>
      <c r="O104" s="92">
        <f t="shared" si="5"/>
        <v>1.3052631578947369</v>
      </c>
      <c r="T104" s="97"/>
    </row>
    <row r="105" spans="1:20" ht="18" customHeight="1">
      <c r="A105" s="103"/>
      <c r="B105" s="104"/>
      <c r="C105" s="104"/>
      <c r="D105" s="104"/>
      <c r="E105" s="92"/>
      <c r="F105" s="104"/>
      <c r="G105" s="92"/>
      <c r="H105" s="90">
        <v>2011003</v>
      </c>
      <c r="I105" s="90" t="s">
        <v>1112</v>
      </c>
      <c r="J105" s="143">
        <v>14</v>
      </c>
      <c r="K105" s="143"/>
      <c r="L105" s="87">
        <v>8</v>
      </c>
      <c r="M105" s="92" t="str">
        <f t="shared" si="4"/>
        <v/>
      </c>
      <c r="N105" s="89">
        <v>0</v>
      </c>
      <c r="O105" s="92" t="str">
        <f t="shared" si="5"/>
        <v/>
      </c>
      <c r="T105" s="97"/>
    </row>
    <row r="106" spans="1:20" ht="18" customHeight="1">
      <c r="A106" s="103"/>
      <c r="B106" s="104"/>
      <c r="C106" s="104"/>
      <c r="D106" s="104"/>
      <c r="E106" s="92"/>
      <c r="F106" s="104"/>
      <c r="G106" s="92"/>
      <c r="H106" s="90">
        <v>2011004</v>
      </c>
      <c r="I106" s="90" t="s">
        <v>1172</v>
      </c>
      <c r="J106" s="143">
        <v>0</v>
      </c>
      <c r="K106" s="143"/>
      <c r="L106" s="89"/>
      <c r="M106" s="92" t="str">
        <f t="shared" si="4"/>
        <v/>
      </c>
      <c r="N106" s="89">
        <v>60</v>
      </c>
      <c r="O106" s="92">
        <f t="shared" si="5"/>
        <v>-1</v>
      </c>
      <c r="T106" s="97"/>
    </row>
    <row r="107" spans="1:20" ht="18" customHeight="1">
      <c r="A107" s="103"/>
      <c r="B107" s="104"/>
      <c r="C107" s="104"/>
      <c r="D107" s="104"/>
      <c r="E107" s="92"/>
      <c r="F107" s="104"/>
      <c r="G107" s="92"/>
      <c r="H107" s="90">
        <v>2011005</v>
      </c>
      <c r="I107" s="90" t="s">
        <v>1173</v>
      </c>
      <c r="J107" s="143">
        <v>2980</v>
      </c>
      <c r="K107" s="143"/>
      <c r="L107" s="87">
        <v>2956</v>
      </c>
      <c r="M107" s="92" t="str">
        <f t="shared" si="4"/>
        <v/>
      </c>
      <c r="N107" s="89">
        <v>1145</v>
      </c>
      <c r="O107" s="92">
        <f t="shared" si="5"/>
        <v>1.5816593886462882</v>
      </c>
      <c r="T107" s="97"/>
    </row>
    <row r="108" spans="1:20" ht="18" customHeight="1">
      <c r="A108" s="103"/>
      <c r="B108" s="104"/>
      <c r="C108" s="104"/>
      <c r="D108" s="104"/>
      <c r="E108" s="92"/>
      <c r="F108" s="104"/>
      <c r="G108" s="92"/>
      <c r="H108" s="90">
        <v>2011006</v>
      </c>
      <c r="I108" s="90" t="s">
        <v>1174</v>
      </c>
      <c r="J108" s="143">
        <v>7706</v>
      </c>
      <c r="K108" s="143"/>
      <c r="L108" s="87">
        <v>5744</v>
      </c>
      <c r="M108" s="92" t="str">
        <f t="shared" si="4"/>
        <v/>
      </c>
      <c r="N108" s="89">
        <v>2672</v>
      </c>
      <c r="O108" s="92">
        <f t="shared" si="5"/>
        <v>1.1497005988023954</v>
      </c>
      <c r="T108" s="97"/>
    </row>
    <row r="109" spans="1:20" ht="18" customHeight="1">
      <c r="A109" s="103"/>
      <c r="B109" s="104"/>
      <c r="C109" s="104"/>
      <c r="D109" s="104"/>
      <c r="E109" s="92"/>
      <c r="F109" s="104"/>
      <c r="G109" s="92"/>
      <c r="H109" s="90">
        <v>2011007</v>
      </c>
      <c r="I109" s="90" t="s">
        <v>1175</v>
      </c>
      <c r="J109" s="143">
        <v>9516</v>
      </c>
      <c r="K109" s="143"/>
      <c r="L109" s="87">
        <v>8953</v>
      </c>
      <c r="M109" s="92" t="str">
        <f t="shared" si="4"/>
        <v/>
      </c>
      <c r="N109" s="89">
        <v>8648</v>
      </c>
      <c r="O109" s="92">
        <f t="shared" si="5"/>
        <v>3.5268270120259126E-2</v>
      </c>
      <c r="T109" s="97"/>
    </row>
    <row r="110" spans="1:20" ht="18" customHeight="1">
      <c r="A110" s="103"/>
      <c r="B110" s="104"/>
      <c r="C110" s="104"/>
      <c r="D110" s="104"/>
      <c r="E110" s="92"/>
      <c r="F110" s="104"/>
      <c r="G110" s="92"/>
      <c r="H110" s="90">
        <v>2011008</v>
      </c>
      <c r="I110" s="90" t="s">
        <v>1176</v>
      </c>
      <c r="J110" s="143">
        <v>4037</v>
      </c>
      <c r="K110" s="143"/>
      <c r="L110" s="87">
        <v>17704</v>
      </c>
      <c r="M110" s="92" t="str">
        <f t="shared" si="4"/>
        <v/>
      </c>
      <c r="N110" s="89">
        <v>8321</v>
      </c>
      <c r="O110" s="92">
        <f t="shared" si="5"/>
        <v>1.1276288907583223</v>
      </c>
      <c r="T110" s="97"/>
    </row>
    <row r="111" spans="1:20" ht="18" customHeight="1">
      <c r="A111" s="103"/>
      <c r="B111" s="104"/>
      <c r="C111" s="104"/>
      <c r="D111" s="104"/>
      <c r="E111" s="92"/>
      <c r="F111" s="104"/>
      <c r="G111" s="92"/>
      <c r="H111" s="90">
        <v>2011009</v>
      </c>
      <c r="I111" s="90" t="s">
        <v>1177</v>
      </c>
      <c r="J111" s="143">
        <v>0</v>
      </c>
      <c r="K111" s="143"/>
      <c r="L111" s="87">
        <v>114</v>
      </c>
      <c r="M111" s="92" t="str">
        <f t="shared" si="4"/>
        <v/>
      </c>
      <c r="N111" s="89">
        <v>1012</v>
      </c>
      <c r="O111" s="92">
        <f t="shared" si="5"/>
        <v>-0.88735177865612647</v>
      </c>
      <c r="T111" s="97"/>
    </row>
    <row r="112" spans="1:20" ht="18" customHeight="1">
      <c r="A112" s="103"/>
      <c r="B112" s="104"/>
      <c r="C112" s="104"/>
      <c r="D112" s="104"/>
      <c r="E112" s="92"/>
      <c r="F112" s="104"/>
      <c r="G112" s="92"/>
      <c r="H112" s="90">
        <v>2011010</v>
      </c>
      <c r="I112" s="90" t="s">
        <v>1178</v>
      </c>
      <c r="J112" s="143">
        <v>750</v>
      </c>
      <c r="K112" s="143"/>
      <c r="L112" s="87">
        <v>867</v>
      </c>
      <c r="M112" s="92" t="str">
        <f t="shared" si="4"/>
        <v/>
      </c>
      <c r="N112" s="89">
        <v>306</v>
      </c>
      <c r="O112" s="92">
        <f t="shared" si="5"/>
        <v>1.8333333333333335</v>
      </c>
      <c r="T112" s="97"/>
    </row>
    <row r="113" spans="1:20" ht="18" customHeight="1">
      <c r="A113" s="103"/>
      <c r="B113" s="104"/>
      <c r="C113" s="104"/>
      <c r="D113" s="104"/>
      <c r="E113" s="92"/>
      <c r="F113" s="104"/>
      <c r="G113" s="92"/>
      <c r="H113" s="90">
        <v>2011011</v>
      </c>
      <c r="I113" s="90" t="s">
        <v>1179</v>
      </c>
      <c r="J113" s="143">
        <v>299</v>
      </c>
      <c r="K113" s="143"/>
      <c r="L113" s="87">
        <v>341</v>
      </c>
      <c r="M113" s="92" t="str">
        <f t="shared" si="4"/>
        <v/>
      </c>
      <c r="N113" s="89">
        <v>250</v>
      </c>
      <c r="O113" s="92">
        <f t="shared" si="5"/>
        <v>0.3640000000000001</v>
      </c>
      <c r="T113" s="97"/>
    </row>
    <row r="114" spans="1:20" ht="18" customHeight="1">
      <c r="A114" s="103"/>
      <c r="B114" s="104"/>
      <c r="C114" s="104"/>
      <c r="D114" s="104"/>
      <c r="E114" s="92"/>
      <c r="F114" s="104"/>
      <c r="G114" s="92"/>
      <c r="H114" s="90">
        <v>2011012</v>
      </c>
      <c r="I114" s="90" t="s">
        <v>1180</v>
      </c>
      <c r="J114" s="143">
        <v>0</v>
      </c>
      <c r="K114" s="143"/>
      <c r="L114" s="89"/>
      <c r="M114" s="92" t="str">
        <f t="shared" si="4"/>
        <v/>
      </c>
      <c r="N114" s="89">
        <v>0</v>
      </c>
      <c r="O114" s="92" t="str">
        <f t="shared" si="5"/>
        <v/>
      </c>
      <c r="T114" s="97"/>
    </row>
    <row r="115" spans="1:20" ht="18" customHeight="1">
      <c r="A115" s="103"/>
      <c r="B115" s="104"/>
      <c r="C115" s="104"/>
      <c r="D115" s="104"/>
      <c r="E115" s="92"/>
      <c r="F115" s="104"/>
      <c r="G115" s="92"/>
      <c r="H115" s="90">
        <v>2011050</v>
      </c>
      <c r="I115" s="90" t="s">
        <v>1119</v>
      </c>
      <c r="J115" s="143">
        <v>60</v>
      </c>
      <c r="K115" s="143"/>
      <c r="L115" s="87">
        <v>47</v>
      </c>
      <c r="M115" s="92" t="str">
        <f t="shared" si="4"/>
        <v/>
      </c>
      <c r="N115" s="89">
        <v>6</v>
      </c>
      <c r="O115" s="92">
        <f t="shared" si="5"/>
        <v>6.833333333333333</v>
      </c>
      <c r="T115" s="97"/>
    </row>
    <row r="116" spans="1:20" ht="18" customHeight="1">
      <c r="A116" s="103"/>
      <c r="B116" s="104"/>
      <c r="C116" s="104"/>
      <c r="D116" s="104"/>
      <c r="E116" s="92"/>
      <c r="F116" s="104"/>
      <c r="G116" s="92"/>
      <c r="H116" s="90">
        <v>2011099</v>
      </c>
      <c r="I116" s="90" t="s">
        <v>1181</v>
      </c>
      <c r="J116" s="143">
        <v>16820</v>
      </c>
      <c r="K116" s="143"/>
      <c r="L116" s="87">
        <v>6897</v>
      </c>
      <c r="M116" s="92" t="str">
        <f t="shared" si="4"/>
        <v/>
      </c>
      <c r="N116" s="89">
        <v>3990</v>
      </c>
      <c r="O116" s="92">
        <f t="shared" si="5"/>
        <v>0.72857142857142865</v>
      </c>
      <c r="T116" s="97"/>
    </row>
    <row r="117" spans="1:20" ht="18" customHeight="1">
      <c r="A117" s="103"/>
      <c r="B117" s="104"/>
      <c r="C117" s="104"/>
      <c r="D117" s="104"/>
      <c r="E117" s="92"/>
      <c r="F117" s="104"/>
      <c r="G117" s="92"/>
      <c r="H117" s="90">
        <v>20111</v>
      </c>
      <c r="I117" s="80" t="s">
        <v>1182</v>
      </c>
      <c r="J117" s="143">
        <v>12872</v>
      </c>
      <c r="K117" s="647">
        <v>14256</v>
      </c>
      <c r="L117" s="87">
        <v>14256</v>
      </c>
      <c r="M117" s="92">
        <f t="shared" si="4"/>
        <v>1</v>
      </c>
      <c r="N117" s="89">
        <v>12009</v>
      </c>
      <c r="O117" s="92">
        <f t="shared" si="5"/>
        <v>0.18710966774918814</v>
      </c>
      <c r="T117" s="97"/>
    </row>
    <row r="118" spans="1:20" ht="18" customHeight="1">
      <c r="A118" s="103"/>
      <c r="B118" s="104"/>
      <c r="C118" s="104"/>
      <c r="D118" s="104"/>
      <c r="E118" s="92"/>
      <c r="F118" s="104"/>
      <c r="G118" s="92"/>
      <c r="H118" s="90">
        <v>2011101</v>
      </c>
      <c r="I118" s="90" t="s">
        <v>1110</v>
      </c>
      <c r="J118" s="143">
        <v>7263</v>
      </c>
      <c r="K118" s="143"/>
      <c r="L118" s="87">
        <v>8778</v>
      </c>
      <c r="M118" s="92" t="str">
        <f t="shared" si="4"/>
        <v/>
      </c>
      <c r="N118" s="89">
        <v>6642</v>
      </c>
      <c r="O118" s="92">
        <f t="shared" si="5"/>
        <v>0.32158988256549237</v>
      </c>
      <c r="T118" s="97"/>
    </row>
    <row r="119" spans="1:20" ht="18" customHeight="1">
      <c r="A119" s="103"/>
      <c r="B119" s="104"/>
      <c r="C119" s="104"/>
      <c r="D119" s="104"/>
      <c r="E119" s="92"/>
      <c r="F119" s="104"/>
      <c r="G119" s="92"/>
      <c r="H119" s="90">
        <v>2011102</v>
      </c>
      <c r="I119" s="90" t="s">
        <v>1111</v>
      </c>
      <c r="J119" s="143">
        <v>1238</v>
      </c>
      <c r="K119" s="143"/>
      <c r="L119" s="87">
        <v>976</v>
      </c>
      <c r="M119" s="92" t="str">
        <f t="shared" si="4"/>
        <v/>
      </c>
      <c r="N119" s="89">
        <v>1102</v>
      </c>
      <c r="O119" s="92">
        <f t="shared" si="5"/>
        <v>-0.11433756805807627</v>
      </c>
      <c r="T119" s="97"/>
    </row>
    <row r="120" spans="1:20" ht="18" customHeight="1">
      <c r="A120" s="103"/>
      <c r="B120" s="104"/>
      <c r="C120" s="104"/>
      <c r="D120" s="104"/>
      <c r="E120" s="92"/>
      <c r="F120" s="104"/>
      <c r="G120" s="92"/>
      <c r="H120" s="90">
        <v>2011103</v>
      </c>
      <c r="I120" s="90" t="s">
        <v>1112</v>
      </c>
      <c r="J120" s="143">
        <v>0</v>
      </c>
      <c r="K120" s="143"/>
      <c r="L120" s="89"/>
      <c r="M120" s="92" t="str">
        <f t="shared" si="4"/>
        <v/>
      </c>
      <c r="N120" s="89">
        <v>0</v>
      </c>
      <c r="O120" s="92" t="str">
        <f t="shared" si="5"/>
        <v/>
      </c>
      <c r="T120" s="97"/>
    </row>
    <row r="121" spans="1:20" ht="18" customHeight="1">
      <c r="A121" s="103"/>
      <c r="B121" s="104"/>
      <c r="C121" s="104"/>
      <c r="D121" s="104"/>
      <c r="E121" s="92"/>
      <c r="F121" s="104"/>
      <c r="G121" s="92"/>
      <c r="H121" s="90">
        <v>2011104</v>
      </c>
      <c r="I121" s="90" t="s">
        <v>1183</v>
      </c>
      <c r="J121" s="143">
        <v>1087</v>
      </c>
      <c r="K121" s="143"/>
      <c r="L121" s="87">
        <v>995</v>
      </c>
      <c r="M121" s="92" t="str">
        <f t="shared" si="4"/>
        <v/>
      </c>
      <c r="N121" s="89">
        <v>941</v>
      </c>
      <c r="O121" s="92">
        <f t="shared" si="5"/>
        <v>5.7385759829968075E-2</v>
      </c>
      <c r="T121" s="97"/>
    </row>
    <row r="122" spans="1:20" ht="18" customHeight="1">
      <c r="A122" s="103"/>
      <c r="B122" s="104"/>
      <c r="C122" s="104"/>
      <c r="D122" s="104"/>
      <c r="E122" s="92"/>
      <c r="F122" s="104"/>
      <c r="G122" s="92"/>
      <c r="H122" s="90">
        <v>2011105</v>
      </c>
      <c r="I122" s="90" t="s">
        <v>1184</v>
      </c>
      <c r="J122" s="143">
        <v>0</v>
      </c>
      <c r="K122" s="143"/>
      <c r="L122" s="89"/>
      <c r="M122" s="92" t="str">
        <f t="shared" si="4"/>
        <v/>
      </c>
      <c r="N122" s="89">
        <v>90</v>
      </c>
      <c r="O122" s="92">
        <f t="shared" si="5"/>
        <v>-1</v>
      </c>
      <c r="T122" s="97"/>
    </row>
    <row r="123" spans="1:20" ht="18" customHeight="1">
      <c r="A123" s="103"/>
      <c r="B123" s="104"/>
      <c r="C123" s="104"/>
      <c r="D123" s="104"/>
      <c r="E123" s="92"/>
      <c r="F123" s="104"/>
      <c r="G123" s="92"/>
      <c r="H123" s="90">
        <v>2011106</v>
      </c>
      <c r="I123" s="90" t="s">
        <v>1185</v>
      </c>
      <c r="J123" s="143">
        <v>0</v>
      </c>
      <c r="K123" s="143"/>
      <c r="L123" s="89"/>
      <c r="M123" s="92" t="str">
        <f t="shared" si="4"/>
        <v/>
      </c>
      <c r="N123" s="89">
        <v>0</v>
      </c>
      <c r="O123" s="92" t="str">
        <f t="shared" si="5"/>
        <v/>
      </c>
      <c r="T123" s="97"/>
    </row>
    <row r="124" spans="1:20" ht="18" customHeight="1">
      <c r="A124" s="103"/>
      <c r="B124" s="104"/>
      <c r="C124" s="104"/>
      <c r="D124" s="104"/>
      <c r="E124" s="92"/>
      <c r="F124" s="104"/>
      <c r="G124" s="92"/>
      <c r="H124" s="90">
        <v>2011150</v>
      </c>
      <c r="I124" s="90" t="s">
        <v>1119</v>
      </c>
      <c r="J124" s="143">
        <v>1947</v>
      </c>
      <c r="K124" s="143"/>
      <c r="L124" s="87">
        <v>1502</v>
      </c>
      <c r="M124" s="92" t="str">
        <f t="shared" si="4"/>
        <v/>
      </c>
      <c r="N124" s="89">
        <v>241</v>
      </c>
      <c r="O124" s="92">
        <f t="shared" si="5"/>
        <v>5.2323651452282158</v>
      </c>
      <c r="T124" s="97"/>
    </row>
    <row r="125" spans="1:20" ht="18" customHeight="1">
      <c r="A125" s="103"/>
      <c r="B125" s="104"/>
      <c r="C125" s="104"/>
      <c r="D125" s="104"/>
      <c r="E125" s="92"/>
      <c r="F125" s="104"/>
      <c r="G125" s="92"/>
      <c r="H125" s="90">
        <v>2011199</v>
      </c>
      <c r="I125" s="90" t="s">
        <v>1186</v>
      </c>
      <c r="J125" s="143">
        <v>1337</v>
      </c>
      <c r="K125" s="143"/>
      <c r="L125" s="87">
        <v>2005</v>
      </c>
      <c r="M125" s="92" t="str">
        <f t="shared" si="4"/>
        <v/>
      </c>
      <c r="N125" s="89">
        <v>2993</v>
      </c>
      <c r="O125" s="92">
        <f t="shared" si="5"/>
        <v>-0.33010357500835286</v>
      </c>
      <c r="T125" s="97"/>
    </row>
    <row r="126" spans="1:20" ht="18" customHeight="1">
      <c r="A126" s="103"/>
      <c r="B126" s="104"/>
      <c r="C126" s="104"/>
      <c r="D126" s="104"/>
      <c r="E126" s="92"/>
      <c r="F126" s="104"/>
      <c r="G126" s="92"/>
      <c r="H126" s="90">
        <v>20113</v>
      </c>
      <c r="I126" s="80" t="s">
        <v>1187</v>
      </c>
      <c r="J126" s="143">
        <v>19374</v>
      </c>
      <c r="K126" s="647">
        <v>20192</v>
      </c>
      <c r="L126" s="87">
        <v>20192</v>
      </c>
      <c r="M126" s="92">
        <f t="shared" si="4"/>
        <v>1</v>
      </c>
      <c r="N126" s="89">
        <v>15091</v>
      </c>
      <c r="O126" s="92">
        <f t="shared" si="5"/>
        <v>0.33801603604797559</v>
      </c>
      <c r="T126" s="97"/>
    </row>
    <row r="127" spans="1:20" ht="18" customHeight="1">
      <c r="A127" s="103"/>
      <c r="B127" s="104"/>
      <c r="C127" s="104"/>
      <c r="D127" s="104"/>
      <c r="E127" s="92"/>
      <c r="F127" s="104"/>
      <c r="G127" s="92"/>
      <c r="H127" s="90">
        <v>2011301</v>
      </c>
      <c r="I127" s="90" t="s">
        <v>1110</v>
      </c>
      <c r="J127" s="143">
        <v>7145</v>
      </c>
      <c r="K127" s="143"/>
      <c r="L127" s="87">
        <v>8375</v>
      </c>
      <c r="M127" s="92" t="str">
        <f t="shared" si="4"/>
        <v/>
      </c>
      <c r="N127" s="89">
        <v>7069</v>
      </c>
      <c r="O127" s="92">
        <f t="shared" si="5"/>
        <v>0.18475031829113031</v>
      </c>
      <c r="T127" s="97"/>
    </row>
    <row r="128" spans="1:20" ht="18" customHeight="1">
      <c r="A128" s="103"/>
      <c r="B128" s="104"/>
      <c r="C128" s="104"/>
      <c r="D128" s="104"/>
      <c r="E128" s="92"/>
      <c r="F128" s="104"/>
      <c r="G128" s="92"/>
      <c r="H128" s="90">
        <v>2011302</v>
      </c>
      <c r="I128" s="90" t="s">
        <v>1111</v>
      </c>
      <c r="J128" s="143">
        <v>1524</v>
      </c>
      <c r="K128" s="143"/>
      <c r="L128" s="87">
        <v>1143</v>
      </c>
      <c r="M128" s="92" t="str">
        <f t="shared" si="4"/>
        <v/>
      </c>
      <c r="N128" s="89">
        <v>0</v>
      </c>
      <c r="O128" s="92" t="str">
        <f t="shared" si="5"/>
        <v/>
      </c>
      <c r="T128" s="97"/>
    </row>
    <row r="129" spans="1:20" ht="18" customHeight="1">
      <c r="A129" s="103"/>
      <c r="B129" s="104"/>
      <c r="C129" s="104"/>
      <c r="D129" s="104"/>
      <c r="E129" s="92"/>
      <c r="F129" s="104"/>
      <c r="G129" s="92"/>
      <c r="H129" s="90">
        <v>2011303</v>
      </c>
      <c r="I129" s="90" t="s">
        <v>1112</v>
      </c>
      <c r="J129" s="143">
        <v>0</v>
      </c>
      <c r="K129" s="143"/>
      <c r="L129" s="89"/>
      <c r="M129" s="92" t="str">
        <f t="shared" si="4"/>
        <v/>
      </c>
      <c r="N129" s="89">
        <v>0</v>
      </c>
      <c r="O129" s="92" t="str">
        <f t="shared" si="5"/>
        <v/>
      </c>
      <c r="T129" s="97"/>
    </row>
    <row r="130" spans="1:20" ht="18" customHeight="1">
      <c r="A130" s="103"/>
      <c r="B130" s="104"/>
      <c r="C130" s="104"/>
      <c r="D130" s="104"/>
      <c r="E130" s="92"/>
      <c r="F130" s="104"/>
      <c r="G130" s="92"/>
      <c r="H130" s="90">
        <v>2011304</v>
      </c>
      <c r="I130" s="90" t="s">
        <v>1188</v>
      </c>
      <c r="J130" s="143">
        <v>1528</v>
      </c>
      <c r="K130" s="143"/>
      <c r="L130" s="87">
        <v>1009</v>
      </c>
      <c r="M130" s="92" t="str">
        <f t="shared" si="4"/>
        <v/>
      </c>
      <c r="N130" s="89">
        <v>1077</v>
      </c>
      <c r="O130" s="92">
        <f t="shared" si="5"/>
        <v>-6.3138347260909944E-2</v>
      </c>
      <c r="T130" s="97"/>
    </row>
    <row r="131" spans="1:20" ht="18" customHeight="1">
      <c r="A131" s="103"/>
      <c r="B131" s="104"/>
      <c r="C131" s="104"/>
      <c r="D131" s="104"/>
      <c r="E131" s="92"/>
      <c r="F131" s="104"/>
      <c r="G131" s="92"/>
      <c r="H131" s="90">
        <v>2011305</v>
      </c>
      <c r="I131" s="90" t="s">
        <v>1189</v>
      </c>
      <c r="J131" s="143">
        <v>1459</v>
      </c>
      <c r="K131" s="143"/>
      <c r="L131" s="87">
        <v>1453</v>
      </c>
      <c r="M131" s="92" t="str">
        <f t="shared" si="4"/>
        <v/>
      </c>
      <c r="N131" s="89">
        <v>1344</v>
      </c>
      <c r="O131" s="92">
        <f t="shared" si="5"/>
        <v>8.1101190476190466E-2</v>
      </c>
      <c r="T131" s="97"/>
    </row>
    <row r="132" spans="1:20" ht="18" customHeight="1">
      <c r="A132" s="103"/>
      <c r="B132" s="104"/>
      <c r="C132" s="104"/>
      <c r="D132" s="104"/>
      <c r="E132" s="92"/>
      <c r="F132" s="104"/>
      <c r="G132" s="92"/>
      <c r="H132" s="90">
        <v>2011306</v>
      </c>
      <c r="I132" s="90" t="s">
        <v>1190</v>
      </c>
      <c r="J132" s="143">
        <v>138</v>
      </c>
      <c r="K132" s="143"/>
      <c r="L132" s="87">
        <v>138</v>
      </c>
      <c r="M132" s="92" t="str">
        <f t="shared" si="4"/>
        <v/>
      </c>
      <c r="N132" s="89">
        <v>90</v>
      </c>
      <c r="O132" s="92">
        <f t="shared" si="5"/>
        <v>0.53333333333333344</v>
      </c>
      <c r="T132" s="97"/>
    </row>
    <row r="133" spans="1:20" ht="18" customHeight="1">
      <c r="A133" s="103"/>
      <c r="B133" s="104"/>
      <c r="C133" s="104"/>
      <c r="D133" s="104"/>
      <c r="E133" s="92"/>
      <c r="F133" s="104"/>
      <c r="G133" s="92"/>
      <c r="H133" s="90">
        <v>2011307</v>
      </c>
      <c r="I133" s="90" t="s">
        <v>1191</v>
      </c>
      <c r="J133" s="143">
        <v>1226</v>
      </c>
      <c r="K133" s="143"/>
      <c r="L133" s="87">
        <v>1205</v>
      </c>
      <c r="M133" s="92" t="str">
        <f t="shared" si="4"/>
        <v/>
      </c>
      <c r="N133" s="89">
        <v>850</v>
      </c>
      <c r="O133" s="92">
        <f t="shared" si="5"/>
        <v>0.41764705882352948</v>
      </c>
      <c r="T133" s="97"/>
    </row>
    <row r="134" spans="1:20" ht="18" customHeight="1">
      <c r="A134" s="103"/>
      <c r="B134" s="104"/>
      <c r="C134" s="104"/>
      <c r="D134" s="104"/>
      <c r="E134" s="92"/>
      <c r="F134" s="104"/>
      <c r="G134" s="92"/>
      <c r="H134" s="90">
        <v>2011308</v>
      </c>
      <c r="I134" s="90" t="s">
        <v>1192</v>
      </c>
      <c r="J134" s="143">
        <v>1891</v>
      </c>
      <c r="K134" s="143"/>
      <c r="L134" s="87">
        <v>1657</v>
      </c>
      <c r="M134" s="92" t="str">
        <f t="shared" ref="M134:M197" si="6">+IF(ISERROR(L134/K134),"",L134/K134)</f>
        <v/>
      </c>
      <c r="N134" s="89">
        <v>1123</v>
      </c>
      <c r="O134" s="92">
        <f t="shared" si="5"/>
        <v>0.47551202137132687</v>
      </c>
      <c r="T134" s="97"/>
    </row>
    <row r="135" spans="1:20" ht="18" customHeight="1">
      <c r="A135" s="103"/>
      <c r="B135" s="104"/>
      <c r="C135" s="104"/>
      <c r="D135" s="104"/>
      <c r="E135" s="92"/>
      <c r="F135" s="104"/>
      <c r="G135" s="92"/>
      <c r="H135" s="90">
        <v>2011350</v>
      </c>
      <c r="I135" s="90" t="s">
        <v>1119</v>
      </c>
      <c r="J135" s="143">
        <v>1127</v>
      </c>
      <c r="K135" s="143"/>
      <c r="L135" s="87">
        <v>1366</v>
      </c>
      <c r="M135" s="92" t="str">
        <f t="shared" si="6"/>
        <v/>
      </c>
      <c r="N135" s="89">
        <v>1113</v>
      </c>
      <c r="O135" s="92">
        <f t="shared" ref="O135:O198" si="7">IF(ISERROR(L135/N135-1),"",(L135/N135-1))</f>
        <v>0.22731356693620852</v>
      </c>
      <c r="T135" s="97"/>
    </row>
    <row r="136" spans="1:20" ht="18" customHeight="1">
      <c r="A136" s="103"/>
      <c r="B136" s="104"/>
      <c r="C136" s="104"/>
      <c r="D136" s="104"/>
      <c r="E136" s="92"/>
      <c r="F136" s="104"/>
      <c r="G136" s="92"/>
      <c r="H136" s="90">
        <v>2011399</v>
      </c>
      <c r="I136" s="90" t="s">
        <v>1193</v>
      </c>
      <c r="J136" s="143">
        <v>3336</v>
      </c>
      <c r="K136" s="143"/>
      <c r="L136" s="87">
        <v>3846</v>
      </c>
      <c r="M136" s="92" t="str">
        <f t="shared" si="6"/>
        <v/>
      </c>
      <c r="N136" s="89">
        <v>2425</v>
      </c>
      <c r="O136" s="92">
        <f t="shared" si="7"/>
        <v>0.58597938144329897</v>
      </c>
      <c r="T136" s="97"/>
    </row>
    <row r="137" spans="1:20" ht="18" customHeight="1">
      <c r="A137" s="103"/>
      <c r="B137" s="104"/>
      <c r="C137" s="104"/>
      <c r="D137" s="104"/>
      <c r="E137" s="92"/>
      <c r="F137" s="104"/>
      <c r="G137" s="92"/>
      <c r="H137" s="90">
        <v>20114</v>
      </c>
      <c r="I137" s="80" t="s">
        <v>1194</v>
      </c>
      <c r="J137" s="143">
        <v>33041</v>
      </c>
      <c r="K137" s="647">
        <v>35020</v>
      </c>
      <c r="L137" s="87">
        <v>34199</v>
      </c>
      <c r="M137" s="92">
        <f t="shared" si="6"/>
        <v>0.97655625356938891</v>
      </c>
      <c r="N137" s="89">
        <v>28790</v>
      </c>
      <c r="O137" s="92">
        <f t="shared" si="7"/>
        <v>0.18787773532476559</v>
      </c>
      <c r="T137" s="97"/>
    </row>
    <row r="138" spans="1:20" ht="18" customHeight="1">
      <c r="A138" s="103"/>
      <c r="B138" s="104"/>
      <c r="C138" s="104"/>
      <c r="D138" s="104"/>
      <c r="E138" s="92"/>
      <c r="F138" s="104"/>
      <c r="G138" s="92"/>
      <c r="H138" s="90">
        <v>2011401</v>
      </c>
      <c r="I138" s="90" t="s">
        <v>1110</v>
      </c>
      <c r="J138" s="143">
        <v>0</v>
      </c>
      <c r="K138" s="143"/>
      <c r="L138" s="89"/>
      <c r="M138" s="92" t="str">
        <f t="shared" si="6"/>
        <v/>
      </c>
      <c r="N138" s="89">
        <v>0</v>
      </c>
      <c r="O138" s="92" t="str">
        <f t="shared" si="7"/>
        <v/>
      </c>
      <c r="T138" s="97"/>
    </row>
    <row r="139" spans="1:20" ht="18" customHeight="1">
      <c r="A139" s="103"/>
      <c r="B139" s="104"/>
      <c r="C139" s="104"/>
      <c r="D139" s="104"/>
      <c r="E139" s="92"/>
      <c r="F139" s="104"/>
      <c r="G139" s="92"/>
      <c r="H139" s="90">
        <v>2011402</v>
      </c>
      <c r="I139" s="90" t="s">
        <v>1111</v>
      </c>
      <c r="J139" s="143">
        <v>0</v>
      </c>
      <c r="K139" s="143"/>
      <c r="L139" s="89"/>
      <c r="M139" s="92" t="str">
        <f t="shared" si="6"/>
        <v/>
      </c>
      <c r="N139" s="89">
        <v>0</v>
      </c>
      <c r="O139" s="92" t="str">
        <f t="shared" si="7"/>
        <v/>
      </c>
      <c r="T139" s="97"/>
    </row>
    <row r="140" spans="1:20" ht="18" customHeight="1">
      <c r="A140" s="103"/>
      <c r="B140" s="104"/>
      <c r="C140" s="104"/>
      <c r="D140" s="104"/>
      <c r="E140" s="92"/>
      <c r="F140" s="104"/>
      <c r="G140" s="92"/>
      <c r="H140" s="90">
        <v>2011403</v>
      </c>
      <c r="I140" s="90" t="s">
        <v>1112</v>
      </c>
      <c r="J140" s="143">
        <v>0</v>
      </c>
      <c r="K140" s="143"/>
      <c r="L140" s="89"/>
      <c r="M140" s="92" t="str">
        <f t="shared" si="6"/>
        <v/>
      </c>
      <c r="N140" s="89">
        <v>0</v>
      </c>
      <c r="O140" s="92" t="str">
        <f t="shared" si="7"/>
        <v/>
      </c>
      <c r="T140" s="97"/>
    </row>
    <row r="141" spans="1:20" ht="18" customHeight="1">
      <c r="A141" s="103"/>
      <c r="B141" s="104"/>
      <c r="C141" s="104"/>
      <c r="D141" s="104"/>
      <c r="E141" s="92"/>
      <c r="F141" s="104"/>
      <c r="G141" s="92"/>
      <c r="H141" s="90">
        <v>2011404</v>
      </c>
      <c r="I141" s="90" t="s">
        <v>1195</v>
      </c>
      <c r="J141" s="143">
        <v>0</v>
      </c>
      <c r="K141" s="143"/>
      <c r="L141" s="89"/>
      <c r="M141" s="92" t="str">
        <f t="shared" si="6"/>
        <v/>
      </c>
      <c r="N141" s="89">
        <v>0</v>
      </c>
      <c r="O141" s="92" t="str">
        <f t="shared" si="7"/>
        <v/>
      </c>
      <c r="T141" s="97"/>
    </row>
    <row r="142" spans="1:20" ht="18" customHeight="1">
      <c r="A142" s="103"/>
      <c r="B142" s="104"/>
      <c r="C142" s="104"/>
      <c r="D142" s="104"/>
      <c r="E142" s="92"/>
      <c r="F142" s="104"/>
      <c r="G142" s="92"/>
      <c r="H142" s="90">
        <v>2011405</v>
      </c>
      <c r="I142" s="90" t="s">
        <v>1196</v>
      </c>
      <c r="J142" s="143">
        <v>0</v>
      </c>
      <c r="K142" s="143"/>
      <c r="L142" s="89"/>
      <c r="M142" s="92" t="str">
        <f t="shared" si="6"/>
        <v/>
      </c>
      <c r="N142" s="89">
        <v>0</v>
      </c>
      <c r="O142" s="92" t="str">
        <f t="shared" si="7"/>
        <v/>
      </c>
      <c r="T142" s="97"/>
    </row>
    <row r="143" spans="1:20" ht="18" customHeight="1">
      <c r="A143" s="103"/>
      <c r="B143" s="104"/>
      <c r="C143" s="104"/>
      <c r="D143" s="104"/>
      <c r="E143" s="92"/>
      <c r="F143" s="104"/>
      <c r="G143" s="92"/>
      <c r="H143" s="90">
        <v>2011406</v>
      </c>
      <c r="I143" s="90" t="s">
        <v>1197</v>
      </c>
      <c r="J143" s="143">
        <v>0</v>
      </c>
      <c r="K143" s="143"/>
      <c r="L143" s="89"/>
      <c r="M143" s="92" t="str">
        <f t="shared" si="6"/>
        <v/>
      </c>
      <c r="N143" s="89">
        <v>0</v>
      </c>
      <c r="O143" s="92" t="str">
        <f t="shared" si="7"/>
        <v/>
      </c>
      <c r="T143" s="97"/>
    </row>
    <row r="144" spans="1:20" ht="18" customHeight="1">
      <c r="A144" s="103"/>
      <c r="B144" s="104"/>
      <c r="C144" s="104"/>
      <c r="D144" s="104"/>
      <c r="E144" s="92"/>
      <c r="F144" s="104"/>
      <c r="G144" s="92"/>
      <c r="H144" s="90">
        <v>2011407</v>
      </c>
      <c r="I144" s="90" t="s">
        <v>1198</v>
      </c>
      <c r="J144" s="143">
        <v>0</v>
      </c>
      <c r="K144" s="143"/>
      <c r="L144" s="89"/>
      <c r="M144" s="92" t="str">
        <f t="shared" si="6"/>
        <v/>
      </c>
      <c r="N144" s="89">
        <v>0</v>
      </c>
      <c r="O144" s="92" t="str">
        <f t="shared" si="7"/>
        <v/>
      </c>
      <c r="T144" s="97"/>
    </row>
    <row r="145" spans="1:20" ht="18" customHeight="1">
      <c r="A145" s="103"/>
      <c r="B145" s="104"/>
      <c r="C145" s="104"/>
      <c r="D145" s="104"/>
      <c r="E145" s="92"/>
      <c r="F145" s="104"/>
      <c r="G145" s="92"/>
      <c r="H145" s="90">
        <v>2011408</v>
      </c>
      <c r="I145" s="90" t="s">
        <v>1199</v>
      </c>
      <c r="J145" s="143">
        <v>0</v>
      </c>
      <c r="K145" s="143"/>
      <c r="L145" s="89"/>
      <c r="M145" s="92" t="str">
        <f t="shared" si="6"/>
        <v/>
      </c>
      <c r="N145" s="89">
        <v>0</v>
      </c>
      <c r="O145" s="92" t="str">
        <f t="shared" si="7"/>
        <v/>
      </c>
      <c r="T145" s="97"/>
    </row>
    <row r="146" spans="1:20" ht="18" customHeight="1">
      <c r="A146" s="103"/>
      <c r="B146" s="104"/>
      <c r="C146" s="104"/>
      <c r="D146" s="104"/>
      <c r="E146" s="92"/>
      <c r="F146" s="104"/>
      <c r="G146" s="92"/>
      <c r="H146" s="90">
        <v>2011409</v>
      </c>
      <c r="I146" s="90" t="s">
        <v>1200</v>
      </c>
      <c r="J146" s="143">
        <v>907</v>
      </c>
      <c r="K146" s="143"/>
      <c r="L146" s="87">
        <v>1606</v>
      </c>
      <c r="M146" s="92" t="str">
        <f t="shared" si="6"/>
        <v/>
      </c>
      <c r="N146" s="89">
        <v>14140</v>
      </c>
      <c r="O146" s="92">
        <f t="shared" si="7"/>
        <v>-0.88642149929278646</v>
      </c>
      <c r="T146" s="97"/>
    </row>
    <row r="147" spans="1:20" ht="18" customHeight="1">
      <c r="A147" s="103"/>
      <c r="B147" s="104"/>
      <c r="C147" s="104"/>
      <c r="D147" s="104"/>
      <c r="E147" s="92"/>
      <c r="F147" s="104"/>
      <c r="G147" s="92"/>
      <c r="H147" s="90">
        <v>2011450</v>
      </c>
      <c r="I147" s="90" t="s">
        <v>1119</v>
      </c>
      <c r="J147" s="143">
        <v>117</v>
      </c>
      <c r="K147" s="143"/>
      <c r="L147" s="87">
        <v>179</v>
      </c>
      <c r="M147" s="92" t="str">
        <f t="shared" si="6"/>
        <v/>
      </c>
      <c r="N147" s="89">
        <v>132</v>
      </c>
      <c r="O147" s="92">
        <f t="shared" si="7"/>
        <v>0.35606060606060597</v>
      </c>
      <c r="T147" s="97"/>
    </row>
    <row r="148" spans="1:20" ht="18" customHeight="1">
      <c r="A148" s="103"/>
      <c r="B148" s="104"/>
      <c r="C148" s="104"/>
      <c r="D148" s="104"/>
      <c r="E148" s="92"/>
      <c r="F148" s="104"/>
      <c r="G148" s="92"/>
      <c r="H148" s="90">
        <v>2011499</v>
      </c>
      <c r="I148" s="90" t="s">
        <v>1201</v>
      </c>
      <c r="J148" s="143">
        <v>32017</v>
      </c>
      <c r="K148" s="143"/>
      <c r="L148" s="87">
        <v>32414</v>
      </c>
      <c r="M148" s="92" t="str">
        <f t="shared" si="6"/>
        <v/>
      </c>
      <c r="N148" s="89">
        <v>14518</v>
      </c>
      <c r="O148" s="92">
        <f t="shared" si="7"/>
        <v>1.2326766772282682</v>
      </c>
      <c r="T148" s="97"/>
    </row>
    <row r="149" spans="1:20" ht="18" customHeight="1">
      <c r="A149" s="103"/>
      <c r="B149" s="104"/>
      <c r="C149" s="104"/>
      <c r="D149" s="104"/>
      <c r="E149" s="92"/>
      <c r="F149" s="104"/>
      <c r="G149" s="92"/>
      <c r="H149" s="90">
        <v>20115</v>
      </c>
      <c r="I149" s="80" t="s">
        <v>1202</v>
      </c>
      <c r="J149" s="143">
        <v>90067</v>
      </c>
      <c r="K149" s="647">
        <v>107796</v>
      </c>
      <c r="L149" s="87">
        <v>107796</v>
      </c>
      <c r="M149" s="92">
        <f t="shared" si="6"/>
        <v>1</v>
      </c>
      <c r="N149" s="89">
        <v>93374</v>
      </c>
      <c r="O149" s="92">
        <f t="shared" si="7"/>
        <v>0.15445413070019498</v>
      </c>
      <c r="T149" s="97"/>
    </row>
    <row r="150" spans="1:20" ht="18" customHeight="1">
      <c r="A150" s="103"/>
      <c r="B150" s="104"/>
      <c r="C150" s="104"/>
      <c r="D150" s="104"/>
      <c r="E150" s="92"/>
      <c r="F150" s="104"/>
      <c r="G150" s="92"/>
      <c r="H150" s="90">
        <v>2011501</v>
      </c>
      <c r="I150" s="90" t="s">
        <v>1110</v>
      </c>
      <c r="J150" s="143">
        <v>63532</v>
      </c>
      <c r="K150" s="143"/>
      <c r="L150" s="87">
        <v>85148</v>
      </c>
      <c r="M150" s="92" t="str">
        <f t="shared" si="6"/>
        <v/>
      </c>
      <c r="N150" s="89">
        <v>67361</v>
      </c>
      <c r="O150" s="92">
        <f t="shared" si="7"/>
        <v>0.26405486854411309</v>
      </c>
      <c r="T150" s="97"/>
    </row>
    <row r="151" spans="1:20" ht="18" customHeight="1">
      <c r="A151" s="103"/>
      <c r="B151" s="104"/>
      <c r="C151" s="104"/>
      <c r="D151" s="104"/>
      <c r="E151" s="92"/>
      <c r="F151" s="104"/>
      <c r="G151" s="92"/>
      <c r="H151" s="90">
        <v>2011502</v>
      </c>
      <c r="I151" s="90" t="s">
        <v>1111</v>
      </c>
      <c r="J151" s="143">
        <v>8255</v>
      </c>
      <c r="K151" s="143"/>
      <c r="L151" s="87">
        <v>2875</v>
      </c>
      <c r="M151" s="92" t="str">
        <f t="shared" si="6"/>
        <v/>
      </c>
      <c r="N151" s="89">
        <v>2095</v>
      </c>
      <c r="O151" s="92">
        <f t="shared" si="7"/>
        <v>0.37231503579952263</v>
      </c>
      <c r="T151" s="97"/>
    </row>
    <row r="152" spans="1:20" ht="18" customHeight="1">
      <c r="A152" s="103"/>
      <c r="B152" s="104"/>
      <c r="C152" s="104"/>
      <c r="D152" s="104"/>
      <c r="E152" s="92"/>
      <c r="F152" s="104"/>
      <c r="G152" s="92"/>
      <c r="H152" s="90">
        <v>2011503</v>
      </c>
      <c r="I152" s="90" t="s">
        <v>1112</v>
      </c>
      <c r="J152" s="143">
        <v>0</v>
      </c>
      <c r="K152" s="143"/>
      <c r="L152" s="89"/>
      <c r="M152" s="92" t="str">
        <f t="shared" si="6"/>
        <v/>
      </c>
      <c r="N152" s="89">
        <v>0</v>
      </c>
      <c r="O152" s="92" t="str">
        <f t="shared" si="7"/>
        <v/>
      </c>
      <c r="T152" s="97"/>
    </row>
    <row r="153" spans="1:20" ht="18" customHeight="1">
      <c r="A153" s="103"/>
      <c r="B153" s="104"/>
      <c r="C153" s="104"/>
      <c r="D153" s="104"/>
      <c r="E153" s="92"/>
      <c r="F153" s="104"/>
      <c r="G153" s="92"/>
      <c r="H153" s="90">
        <v>2011504</v>
      </c>
      <c r="I153" s="90" t="s">
        <v>1203</v>
      </c>
      <c r="J153" s="143">
        <v>10747</v>
      </c>
      <c r="K153" s="143"/>
      <c r="L153" s="87">
        <v>11175</v>
      </c>
      <c r="M153" s="92" t="str">
        <f t="shared" si="6"/>
        <v/>
      </c>
      <c r="N153" s="89">
        <v>16836</v>
      </c>
      <c r="O153" s="92">
        <f t="shared" si="7"/>
        <v>-0.33624376336421957</v>
      </c>
      <c r="T153" s="97"/>
    </row>
    <row r="154" spans="1:20" ht="18" customHeight="1">
      <c r="A154" s="103"/>
      <c r="B154" s="104"/>
      <c r="C154" s="104"/>
      <c r="D154" s="104"/>
      <c r="E154" s="92"/>
      <c r="F154" s="104"/>
      <c r="G154" s="92"/>
      <c r="H154" s="90">
        <v>2011505</v>
      </c>
      <c r="I154" s="90" t="s">
        <v>1204</v>
      </c>
      <c r="J154" s="143">
        <v>2609</v>
      </c>
      <c r="K154" s="143"/>
      <c r="L154" s="87">
        <v>2915</v>
      </c>
      <c r="M154" s="92" t="str">
        <f t="shared" si="6"/>
        <v/>
      </c>
      <c r="N154" s="89">
        <v>2340</v>
      </c>
      <c r="O154" s="92">
        <f t="shared" si="7"/>
        <v>0.24572649572649574</v>
      </c>
      <c r="T154" s="97"/>
    </row>
    <row r="155" spans="1:20" ht="18" customHeight="1">
      <c r="A155" s="103"/>
      <c r="B155" s="104"/>
      <c r="C155" s="104"/>
      <c r="D155" s="104"/>
      <c r="E155" s="92"/>
      <c r="F155" s="104"/>
      <c r="G155" s="92"/>
      <c r="H155" s="90">
        <v>2011506</v>
      </c>
      <c r="I155" s="90" t="s">
        <v>1205</v>
      </c>
      <c r="J155" s="143">
        <v>1620</v>
      </c>
      <c r="K155" s="143"/>
      <c r="L155" s="87">
        <v>1960</v>
      </c>
      <c r="M155" s="92" t="str">
        <f t="shared" si="6"/>
        <v/>
      </c>
      <c r="N155" s="89">
        <v>1595</v>
      </c>
      <c r="O155" s="92">
        <f t="shared" si="7"/>
        <v>0.2288401253918495</v>
      </c>
      <c r="T155" s="97"/>
    </row>
    <row r="156" spans="1:20" ht="18" customHeight="1">
      <c r="A156" s="103"/>
      <c r="B156" s="104"/>
      <c r="C156" s="104"/>
      <c r="D156" s="104"/>
      <c r="E156" s="92"/>
      <c r="F156" s="104"/>
      <c r="G156" s="92"/>
      <c r="H156" s="90">
        <v>2011507</v>
      </c>
      <c r="I156" s="90" t="s">
        <v>1152</v>
      </c>
      <c r="J156" s="143">
        <v>1932</v>
      </c>
      <c r="K156" s="143"/>
      <c r="L156" s="87">
        <v>2373</v>
      </c>
      <c r="M156" s="92" t="str">
        <f t="shared" si="6"/>
        <v/>
      </c>
      <c r="N156" s="89">
        <v>1690</v>
      </c>
      <c r="O156" s="92">
        <f t="shared" si="7"/>
        <v>0.40414201183431953</v>
      </c>
      <c r="T156" s="97"/>
    </row>
    <row r="157" spans="1:20" ht="18" customHeight="1">
      <c r="A157" s="103"/>
      <c r="B157" s="104"/>
      <c r="C157" s="104"/>
      <c r="D157" s="104"/>
      <c r="E157" s="92"/>
      <c r="F157" s="104"/>
      <c r="G157" s="92"/>
      <c r="H157" s="90">
        <v>2011550</v>
      </c>
      <c r="I157" s="90" t="s">
        <v>1119</v>
      </c>
      <c r="J157" s="143">
        <v>97</v>
      </c>
      <c r="K157" s="143"/>
      <c r="L157" s="87">
        <v>75</v>
      </c>
      <c r="M157" s="92" t="str">
        <f t="shared" si="6"/>
        <v/>
      </c>
      <c r="N157" s="89">
        <v>132</v>
      </c>
      <c r="O157" s="92">
        <f t="shared" si="7"/>
        <v>-0.43181818181818177</v>
      </c>
      <c r="T157" s="97"/>
    </row>
    <row r="158" spans="1:20" ht="18" customHeight="1">
      <c r="A158" s="103"/>
      <c r="B158" s="104"/>
      <c r="C158" s="104"/>
      <c r="D158" s="104"/>
      <c r="E158" s="92"/>
      <c r="F158" s="104"/>
      <c r="G158" s="92"/>
      <c r="H158" s="90">
        <v>2011599</v>
      </c>
      <c r="I158" s="90" t="s">
        <v>1206</v>
      </c>
      <c r="J158" s="143">
        <v>1275</v>
      </c>
      <c r="K158" s="143"/>
      <c r="L158" s="87">
        <v>1275</v>
      </c>
      <c r="M158" s="92" t="str">
        <f t="shared" si="6"/>
        <v/>
      </c>
      <c r="N158" s="89">
        <v>1325</v>
      </c>
      <c r="O158" s="92">
        <f t="shared" si="7"/>
        <v>-3.7735849056603765E-2</v>
      </c>
      <c r="T158" s="97"/>
    </row>
    <row r="159" spans="1:20" ht="18" customHeight="1">
      <c r="A159" s="103"/>
      <c r="B159" s="104"/>
      <c r="C159" s="104"/>
      <c r="D159" s="104"/>
      <c r="E159" s="92"/>
      <c r="F159" s="104"/>
      <c r="G159" s="92"/>
      <c r="H159" s="90">
        <v>20117</v>
      </c>
      <c r="I159" s="80" t="s">
        <v>1207</v>
      </c>
      <c r="J159" s="143">
        <v>27986</v>
      </c>
      <c r="K159" s="647">
        <v>29198</v>
      </c>
      <c r="L159" s="87">
        <v>28996</v>
      </c>
      <c r="M159" s="92">
        <f t="shared" si="6"/>
        <v>0.99308171792588529</v>
      </c>
      <c r="N159" s="89">
        <v>23722</v>
      </c>
      <c r="O159" s="92">
        <f t="shared" si="7"/>
        <v>0.2223252676840064</v>
      </c>
      <c r="T159" s="97"/>
    </row>
    <row r="160" spans="1:20" ht="18" customHeight="1">
      <c r="A160" s="103"/>
      <c r="B160" s="104"/>
      <c r="C160" s="104"/>
      <c r="D160" s="104"/>
      <c r="E160" s="92"/>
      <c r="F160" s="104"/>
      <c r="G160" s="92"/>
      <c r="H160" s="90">
        <v>2011701</v>
      </c>
      <c r="I160" s="90" t="s">
        <v>1110</v>
      </c>
      <c r="J160" s="143">
        <v>0</v>
      </c>
      <c r="K160" s="143"/>
      <c r="L160" s="89"/>
      <c r="M160" s="92" t="str">
        <f t="shared" si="6"/>
        <v/>
      </c>
      <c r="N160" s="89">
        <v>0</v>
      </c>
      <c r="O160" s="92" t="str">
        <f t="shared" si="7"/>
        <v/>
      </c>
      <c r="T160" s="97"/>
    </row>
    <row r="161" spans="1:20" ht="18" customHeight="1">
      <c r="A161" s="103"/>
      <c r="B161" s="104"/>
      <c r="C161" s="104"/>
      <c r="D161" s="104"/>
      <c r="E161" s="92"/>
      <c r="F161" s="104"/>
      <c r="G161" s="92"/>
      <c r="H161" s="90">
        <v>2011702</v>
      </c>
      <c r="I161" s="90" t="s">
        <v>1111</v>
      </c>
      <c r="J161" s="143">
        <v>0</v>
      </c>
      <c r="K161" s="143"/>
      <c r="L161" s="89"/>
      <c r="M161" s="92" t="str">
        <f t="shared" si="6"/>
        <v/>
      </c>
      <c r="N161" s="89">
        <v>0</v>
      </c>
      <c r="O161" s="92" t="str">
        <f t="shared" si="7"/>
        <v/>
      </c>
      <c r="T161" s="97"/>
    </row>
    <row r="162" spans="1:20" ht="18" customHeight="1">
      <c r="A162" s="103"/>
      <c r="B162" s="104"/>
      <c r="C162" s="104"/>
      <c r="D162" s="104"/>
      <c r="E162" s="92"/>
      <c r="F162" s="104"/>
      <c r="G162" s="92"/>
      <c r="H162" s="90">
        <v>2011703</v>
      </c>
      <c r="I162" s="90" t="s">
        <v>1112</v>
      </c>
      <c r="J162" s="143">
        <v>0</v>
      </c>
      <c r="K162" s="143"/>
      <c r="L162" s="89"/>
      <c r="M162" s="92" t="str">
        <f t="shared" si="6"/>
        <v/>
      </c>
      <c r="N162" s="89">
        <v>0</v>
      </c>
      <c r="O162" s="92" t="str">
        <f t="shared" si="7"/>
        <v/>
      </c>
      <c r="T162" s="97"/>
    </row>
    <row r="163" spans="1:20" ht="18" customHeight="1">
      <c r="A163" s="103"/>
      <c r="B163" s="104"/>
      <c r="C163" s="104"/>
      <c r="D163" s="104"/>
      <c r="E163" s="92"/>
      <c r="F163" s="104"/>
      <c r="G163" s="92"/>
      <c r="H163" s="90">
        <v>2011704</v>
      </c>
      <c r="I163" s="90" t="s">
        <v>1208</v>
      </c>
      <c r="J163" s="143">
        <v>0</v>
      </c>
      <c r="K163" s="143"/>
      <c r="L163" s="89"/>
      <c r="M163" s="92" t="str">
        <f t="shared" si="6"/>
        <v/>
      </c>
      <c r="N163" s="89">
        <v>0</v>
      </c>
      <c r="O163" s="92" t="str">
        <f t="shared" si="7"/>
        <v/>
      </c>
      <c r="T163" s="97"/>
    </row>
    <row r="164" spans="1:20" ht="18" customHeight="1">
      <c r="A164" s="103"/>
      <c r="B164" s="104"/>
      <c r="C164" s="104"/>
      <c r="D164" s="104"/>
      <c r="E164" s="92"/>
      <c r="F164" s="104"/>
      <c r="G164" s="92"/>
      <c r="H164" s="90">
        <v>2011705</v>
      </c>
      <c r="I164" s="90" t="s">
        <v>1209</v>
      </c>
      <c r="J164" s="143">
        <v>0</v>
      </c>
      <c r="K164" s="143"/>
      <c r="L164" s="89"/>
      <c r="M164" s="92" t="str">
        <f t="shared" si="6"/>
        <v/>
      </c>
      <c r="N164" s="89">
        <v>0</v>
      </c>
      <c r="O164" s="92" t="str">
        <f t="shared" si="7"/>
        <v/>
      </c>
      <c r="T164" s="97"/>
    </row>
    <row r="165" spans="1:20" ht="18" customHeight="1">
      <c r="A165" s="103"/>
      <c r="B165" s="104"/>
      <c r="C165" s="104"/>
      <c r="D165" s="104"/>
      <c r="E165" s="92"/>
      <c r="F165" s="104"/>
      <c r="G165" s="92"/>
      <c r="H165" s="90">
        <v>2011706</v>
      </c>
      <c r="I165" s="90" t="s">
        <v>1210</v>
      </c>
      <c r="J165" s="143">
        <v>6740</v>
      </c>
      <c r="K165" s="143"/>
      <c r="L165" s="87">
        <v>7949</v>
      </c>
      <c r="M165" s="92" t="str">
        <f t="shared" si="6"/>
        <v/>
      </c>
      <c r="N165" s="89">
        <v>4145</v>
      </c>
      <c r="O165" s="92">
        <f t="shared" si="7"/>
        <v>0.91773220747889028</v>
      </c>
      <c r="T165" s="97"/>
    </row>
    <row r="166" spans="1:20" ht="18" customHeight="1">
      <c r="A166" s="103"/>
      <c r="B166" s="104"/>
      <c r="C166" s="104"/>
      <c r="D166" s="104"/>
      <c r="E166" s="92"/>
      <c r="F166" s="104"/>
      <c r="G166" s="92"/>
      <c r="H166" s="90">
        <v>2011707</v>
      </c>
      <c r="I166" s="90" t="s">
        <v>1211</v>
      </c>
      <c r="J166" s="143">
        <v>0</v>
      </c>
      <c r="K166" s="143"/>
      <c r="L166" s="87">
        <v>194</v>
      </c>
      <c r="M166" s="92" t="str">
        <f t="shared" si="6"/>
        <v/>
      </c>
      <c r="N166" s="89">
        <v>0</v>
      </c>
      <c r="O166" s="92" t="str">
        <f t="shared" si="7"/>
        <v/>
      </c>
      <c r="T166" s="97"/>
    </row>
    <row r="167" spans="1:20" ht="18" customHeight="1">
      <c r="A167" s="103"/>
      <c r="B167" s="104"/>
      <c r="C167" s="104"/>
      <c r="D167" s="104"/>
      <c r="E167" s="92"/>
      <c r="F167" s="104"/>
      <c r="G167" s="92"/>
      <c r="H167" s="90">
        <v>2011708</v>
      </c>
      <c r="I167" s="90" t="s">
        <v>1212</v>
      </c>
      <c r="J167" s="143">
        <v>0</v>
      </c>
      <c r="K167" s="143"/>
      <c r="L167" s="89"/>
      <c r="M167" s="92" t="str">
        <f t="shared" si="6"/>
        <v/>
      </c>
      <c r="N167" s="89">
        <v>0</v>
      </c>
      <c r="O167" s="92" t="str">
        <f t="shared" si="7"/>
        <v/>
      </c>
      <c r="T167" s="97"/>
    </row>
    <row r="168" spans="1:20" ht="18" customHeight="1">
      <c r="A168" s="103"/>
      <c r="B168" s="104"/>
      <c r="C168" s="104"/>
      <c r="D168" s="104"/>
      <c r="E168" s="92"/>
      <c r="F168" s="104"/>
      <c r="G168" s="92"/>
      <c r="H168" s="90">
        <v>2011709</v>
      </c>
      <c r="I168" s="90" t="s">
        <v>1213</v>
      </c>
      <c r="J168" s="143">
        <v>4952</v>
      </c>
      <c r="K168" s="143"/>
      <c r="L168" s="87">
        <v>5080</v>
      </c>
      <c r="M168" s="92" t="str">
        <f t="shared" si="6"/>
        <v/>
      </c>
      <c r="N168" s="89">
        <v>4875</v>
      </c>
      <c r="O168" s="92">
        <f t="shared" si="7"/>
        <v>4.2051282051281946E-2</v>
      </c>
      <c r="T168" s="97"/>
    </row>
    <row r="169" spans="1:20" ht="18" customHeight="1">
      <c r="A169" s="103"/>
      <c r="B169" s="104"/>
      <c r="C169" s="104"/>
      <c r="D169" s="104"/>
      <c r="E169" s="92"/>
      <c r="F169" s="104"/>
      <c r="G169" s="92"/>
      <c r="H169" s="90">
        <v>2011710</v>
      </c>
      <c r="I169" s="90" t="s">
        <v>1152</v>
      </c>
      <c r="J169" s="143">
        <v>0</v>
      </c>
      <c r="K169" s="143"/>
      <c r="L169" s="89"/>
      <c r="M169" s="92" t="str">
        <f t="shared" si="6"/>
        <v/>
      </c>
      <c r="N169" s="89">
        <v>0</v>
      </c>
      <c r="O169" s="92" t="str">
        <f t="shared" si="7"/>
        <v/>
      </c>
      <c r="T169" s="97"/>
    </row>
    <row r="170" spans="1:20" ht="18" customHeight="1">
      <c r="A170" s="103"/>
      <c r="B170" s="104"/>
      <c r="C170" s="104"/>
      <c r="D170" s="104"/>
      <c r="E170" s="92"/>
      <c r="F170" s="104"/>
      <c r="G170" s="92"/>
      <c r="H170" s="90">
        <v>2011750</v>
      </c>
      <c r="I170" s="90" t="s">
        <v>1119</v>
      </c>
      <c r="J170" s="143">
        <v>0</v>
      </c>
      <c r="K170" s="143"/>
      <c r="L170" s="89"/>
      <c r="M170" s="92" t="str">
        <f t="shared" si="6"/>
        <v/>
      </c>
      <c r="N170" s="89">
        <v>0</v>
      </c>
      <c r="O170" s="92" t="str">
        <f t="shared" si="7"/>
        <v/>
      </c>
      <c r="T170" s="97"/>
    </row>
    <row r="171" spans="1:20" ht="18" customHeight="1">
      <c r="A171" s="103"/>
      <c r="B171" s="104"/>
      <c r="C171" s="104"/>
      <c r="D171" s="104"/>
      <c r="E171" s="92"/>
      <c r="F171" s="104"/>
      <c r="G171" s="92"/>
      <c r="H171" s="90">
        <v>2011799</v>
      </c>
      <c r="I171" s="90" t="s">
        <v>1214</v>
      </c>
      <c r="J171" s="143">
        <v>16294</v>
      </c>
      <c r="K171" s="143"/>
      <c r="L171" s="87">
        <v>15773</v>
      </c>
      <c r="M171" s="92" t="str">
        <f t="shared" si="6"/>
        <v/>
      </c>
      <c r="N171" s="89">
        <v>14702</v>
      </c>
      <c r="O171" s="92">
        <f t="shared" si="7"/>
        <v>7.2847231669160628E-2</v>
      </c>
      <c r="T171" s="97"/>
    </row>
    <row r="172" spans="1:20" ht="18" customHeight="1">
      <c r="A172" s="103"/>
      <c r="B172" s="104"/>
      <c r="C172" s="104"/>
      <c r="D172" s="104"/>
      <c r="E172" s="92"/>
      <c r="F172" s="104"/>
      <c r="G172" s="92"/>
      <c r="H172" s="90">
        <v>20123</v>
      </c>
      <c r="I172" s="80" t="s">
        <v>1215</v>
      </c>
      <c r="J172" s="143">
        <v>63</v>
      </c>
      <c r="K172" s="647">
        <v>58</v>
      </c>
      <c r="L172" s="87">
        <v>58</v>
      </c>
      <c r="M172" s="92">
        <f t="shared" si="6"/>
        <v>1</v>
      </c>
      <c r="N172" s="89">
        <v>734</v>
      </c>
      <c r="O172" s="92">
        <f t="shared" si="7"/>
        <v>-0.92098092643051777</v>
      </c>
      <c r="T172" s="97"/>
    </row>
    <row r="173" spans="1:20" ht="18" customHeight="1">
      <c r="A173" s="103"/>
      <c r="B173" s="104"/>
      <c r="C173" s="104"/>
      <c r="D173" s="104"/>
      <c r="E173" s="92"/>
      <c r="F173" s="104"/>
      <c r="G173" s="92"/>
      <c r="H173" s="90">
        <v>2012301</v>
      </c>
      <c r="I173" s="90" t="s">
        <v>1110</v>
      </c>
      <c r="J173" s="143">
        <v>0</v>
      </c>
      <c r="K173" s="143"/>
      <c r="L173" s="89"/>
      <c r="M173" s="92" t="str">
        <f t="shared" si="6"/>
        <v/>
      </c>
      <c r="N173" s="89">
        <v>430</v>
      </c>
      <c r="O173" s="92">
        <f t="shared" si="7"/>
        <v>-1</v>
      </c>
      <c r="T173" s="97"/>
    </row>
    <row r="174" spans="1:20" ht="18" customHeight="1">
      <c r="A174" s="103"/>
      <c r="B174" s="104"/>
      <c r="C174" s="104"/>
      <c r="D174" s="104"/>
      <c r="E174" s="92"/>
      <c r="F174" s="104"/>
      <c r="G174" s="92"/>
      <c r="H174" s="90">
        <v>2012302</v>
      </c>
      <c r="I174" s="90" t="s">
        <v>1111</v>
      </c>
      <c r="J174" s="110">
        <v>0</v>
      </c>
      <c r="K174" s="110"/>
      <c r="L174" s="89"/>
      <c r="M174" s="92" t="str">
        <f t="shared" si="6"/>
        <v/>
      </c>
      <c r="N174" s="89">
        <v>0</v>
      </c>
      <c r="O174" s="92" t="str">
        <f t="shared" si="7"/>
        <v/>
      </c>
      <c r="T174" s="97"/>
    </row>
    <row r="175" spans="1:20" ht="18" customHeight="1">
      <c r="A175" s="103"/>
      <c r="B175" s="104"/>
      <c r="C175" s="104"/>
      <c r="D175" s="104"/>
      <c r="E175" s="92"/>
      <c r="F175" s="104"/>
      <c r="G175" s="92"/>
      <c r="H175" s="90">
        <v>2012303</v>
      </c>
      <c r="I175" s="90" t="s">
        <v>1112</v>
      </c>
      <c r="J175" s="143">
        <v>0</v>
      </c>
      <c r="K175" s="143"/>
      <c r="L175" s="89"/>
      <c r="M175" s="92" t="str">
        <f t="shared" si="6"/>
        <v/>
      </c>
      <c r="N175" s="89">
        <v>0</v>
      </c>
      <c r="O175" s="92" t="str">
        <f t="shared" si="7"/>
        <v/>
      </c>
      <c r="T175" s="97"/>
    </row>
    <row r="176" spans="1:20" ht="18" customHeight="1">
      <c r="A176" s="103"/>
      <c r="B176" s="104"/>
      <c r="C176" s="104"/>
      <c r="D176" s="104"/>
      <c r="E176" s="92"/>
      <c r="F176" s="104"/>
      <c r="G176" s="92"/>
      <c r="H176" s="90">
        <v>2012304</v>
      </c>
      <c r="I176" s="90" t="s">
        <v>1216</v>
      </c>
      <c r="J176" s="143">
        <v>25</v>
      </c>
      <c r="K176" s="143"/>
      <c r="L176" s="87">
        <v>25</v>
      </c>
      <c r="M176" s="92" t="str">
        <f t="shared" si="6"/>
        <v/>
      </c>
      <c r="N176" s="89">
        <v>22</v>
      </c>
      <c r="O176" s="92">
        <f t="shared" si="7"/>
        <v>0.13636363636363646</v>
      </c>
      <c r="T176" s="97"/>
    </row>
    <row r="177" spans="1:20" ht="18" customHeight="1">
      <c r="A177" s="103"/>
      <c r="B177" s="104"/>
      <c r="C177" s="104"/>
      <c r="D177" s="104"/>
      <c r="E177" s="92"/>
      <c r="F177" s="104"/>
      <c r="G177" s="92"/>
      <c r="H177" s="90">
        <v>2012350</v>
      </c>
      <c r="I177" s="90" t="s">
        <v>1119</v>
      </c>
      <c r="J177" s="143">
        <v>0</v>
      </c>
      <c r="K177" s="143"/>
      <c r="L177" s="89"/>
      <c r="M177" s="92" t="str">
        <f t="shared" si="6"/>
        <v/>
      </c>
      <c r="N177" s="89">
        <v>0</v>
      </c>
      <c r="O177" s="92" t="str">
        <f t="shared" si="7"/>
        <v/>
      </c>
      <c r="T177" s="97"/>
    </row>
    <row r="178" spans="1:20" ht="18" customHeight="1">
      <c r="A178" s="103"/>
      <c r="B178" s="104"/>
      <c r="C178" s="104"/>
      <c r="D178" s="104"/>
      <c r="E178" s="92"/>
      <c r="F178" s="104"/>
      <c r="G178" s="92"/>
      <c r="H178" s="90">
        <v>2012399</v>
      </c>
      <c r="I178" s="90" t="s">
        <v>1217</v>
      </c>
      <c r="J178" s="143">
        <v>38</v>
      </c>
      <c r="K178" s="143"/>
      <c r="L178" s="87">
        <v>33</v>
      </c>
      <c r="M178" s="92" t="str">
        <f t="shared" si="6"/>
        <v/>
      </c>
      <c r="N178" s="89">
        <v>282</v>
      </c>
      <c r="O178" s="92">
        <f t="shared" si="7"/>
        <v>-0.88297872340425532</v>
      </c>
      <c r="T178" s="97"/>
    </row>
    <row r="179" spans="1:20" ht="18" customHeight="1">
      <c r="A179" s="103"/>
      <c r="B179" s="104"/>
      <c r="C179" s="104"/>
      <c r="D179" s="104"/>
      <c r="E179" s="92"/>
      <c r="F179" s="104"/>
      <c r="G179" s="92"/>
      <c r="H179" s="90">
        <v>20124</v>
      </c>
      <c r="I179" s="80" t="s">
        <v>1218</v>
      </c>
      <c r="J179" s="143">
        <v>187</v>
      </c>
      <c r="K179" s="647">
        <v>314</v>
      </c>
      <c r="L179" s="87">
        <v>314</v>
      </c>
      <c r="M179" s="92">
        <f t="shared" si="6"/>
        <v>1</v>
      </c>
      <c r="N179" s="89">
        <v>314</v>
      </c>
      <c r="O179" s="92">
        <f t="shared" si="7"/>
        <v>0</v>
      </c>
      <c r="T179" s="97"/>
    </row>
    <row r="180" spans="1:20" ht="18" customHeight="1">
      <c r="A180" s="103"/>
      <c r="B180" s="104"/>
      <c r="C180" s="104"/>
      <c r="D180" s="104"/>
      <c r="E180" s="92"/>
      <c r="F180" s="104"/>
      <c r="G180" s="92"/>
      <c r="H180" s="90">
        <v>2012401</v>
      </c>
      <c r="I180" s="90" t="s">
        <v>1110</v>
      </c>
      <c r="J180" s="143">
        <v>0</v>
      </c>
      <c r="K180" s="143"/>
      <c r="L180" s="89"/>
      <c r="M180" s="92" t="str">
        <f t="shared" si="6"/>
        <v/>
      </c>
      <c r="N180" s="89">
        <v>0</v>
      </c>
      <c r="O180" s="92" t="str">
        <f t="shared" si="7"/>
        <v/>
      </c>
      <c r="T180" s="97"/>
    </row>
    <row r="181" spans="1:20" ht="18" customHeight="1">
      <c r="A181" s="103"/>
      <c r="B181" s="104"/>
      <c r="C181" s="104"/>
      <c r="D181" s="104"/>
      <c r="E181" s="92"/>
      <c r="F181" s="104"/>
      <c r="G181" s="92"/>
      <c r="H181" s="90">
        <v>2012402</v>
      </c>
      <c r="I181" s="90" t="s">
        <v>1111</v>
      </c>
      <c r="J181" s="143">
        <v>0</v>
      </c>
      <c r="K181" s="143"/>
      <c r="L181" s="89"/>
      <c r="M181" s="92" t="str">
        <f t="shared" si="6"/>
        <v/>
      </c>
      <c r="N181" s="89">
        <v>0</v>
      </c>
      <c r="O181" s="92" t="str">
        <f t="shared" si="7"/>
        <v/>
      </c>
      <c r="T181" s="97"/>
    </row>
    <row r="182" spans="1:20" ht="18" customHeight="1">
      <c r="A182" s="103"/>
      <c r="B182" s="104"/>
      <c r="C182" s="104"/>
      <c r="D182" s="104"/>
      <c r="E182" s="92"/>
      <c r="F182" s="104"/>
      <c r="G182" s="92"/>
      <c r="H182" s="90">
        <v>2012403</v>
      </c>
      <c r="I182" s="90" t="s">
        <v>1112</v>
      </c>
      <c r="J182" s="143">
        <v>0</v>
      </c>
      <c r="K182" s="143"/>
      <c r="L182" s="89"/>
      <c r="M182" s="92" t="str">
        <f t="shared" si="6"/>
        <v/>
      </c>
      <c r="N182" s="89">
        <v>0</v>
      </c>
      <c r="O182" s="92" t="str">
        <f t="shared" si="7"/>
        <v/>
      </c>
      <c r="T182" s="97"/>
    </row>
    <row r="183" spans="1:20" ht="18" customHeight="1">
      <c r="A183" s="103"/>
      <c r="B183" s="104"/>
      <c r="C183" s="104"/>
      <c r="D183" s="104"/>
      <c r="E183" s="92"/>
      <c r="F183" s="104"/>
      <c r="G183" s="92"/>
      <c r="H183" s="90">
        <v>2012404</v>
      </c>
      <c r="I183" s="90" t="s">
        <v>1219</v>
      </c>
      <c r="J183" s="143">
        <v>0</v>
      </c>
      <c r="K183" s="143"/>
      <c r="L183" s="89"/>
      <c r="M183" s="92" t="str">
        <f t="shared" si="6"/>
        <v/>
      </c>
      <c r="N183" s="89">
        <v>0</v>
      </c>
      <c r="O183" s="92" t="str">
        <f t="shared" si="7"/>
        <v/>
      </c>
      <c r="T183" s="97"/>
    </row>
    <row r="184" spans="1:20" ht="18" customHeight="1">
      <c r="A184" s="103"/>
      <c r="B184" s="104"/>
      <c r="C184" s="104"/>
      <c r="D184" s="104"/>
      <c r="E184" s="92"/>
      <c r="F184" s="104"/>
      <c r="G184" s="92"/>
      <c r="H184" s="90">
        <v>2012450</v>
      </c>
      <c r="I184" s="90" t="s">
        <v>1119</v>
      </c>
      <c r="J184" s="143">
        <v>0</v>
      </c>
      <c r="K184" s="143"/>
      <c r="L184" s="89"/>
      <c r="M184" s="92" t="str">
        <f t="shared" si="6"/>
        <v/>
      </c>
      <c r="N184" s="89">
        <v>0</v>
      </c>
      <c r="O184" s="92" t="str">
        <f t="shared" si="7"/>
        <v/>
      </c>
      <c r="T184" s="97"/>
    </row>
    <row r="185" spans="1:20" ht="18" customHeight="1">
      <c r="A185" s="103"/>
      <c r="B185" s="104"/>
      <c r="C185" s="104"/>
      <c r="D185" s="104"/>
      <c r="E185" s="92"/>
      <c r="F185" s="104"/>
      <c r="G185" s="92"/>
      <c r="H185" s="90">
        <v>2012499</v>
      </c>
      <c r="I185" s="90" t="s">
        <v>1220</v>
      </c>
      <c r="J185" s="143">
        <v>187</v>
      </c>
      <c r="K185" s="143"/>
      <c r="L185" s="87">
        <v>314</v>
      </c>
      <c r="M185" s="92" t="str">
        <f t="shared" si="6"/>
        <v/>
      </c>
      <c r="N185" s="89">
        <v>314</v>
      </c>
      <c r="O185" s="92">
        <f t="shared" si="7"/>
        <v>0</v>
      </c>
      <c r="T185" s="97"/>
    </row>
    <row r="186" spans="1:20" ht="18" customHeight="1">
      <c r="A186" s="103"/>
      <c r="B186" s="104"/>
      <c r="C186" s="104"/>
      <c r="D186" s="104"/>
      <c r="E186" s="92"/>
      <c r="F186" s="104"/>
      <c r="G186" s="92"/>
      <c r="H186" s="90">
        <v>20125</v>
      </c>
      <c r="I186" s="80" t="s">
        <v>1221</v>
      </c>
      <c r="J186" s="143">
        <v>20320</v>
      </c>
      <c r="K186" s="647">
        <v>1937</v>
      </c>
      <c r="L186" s="87">
        <v>1937</v>
      </c>
      <c r="M186" s="92">
        <f t="shared" si="6"/>
        <v>1</v>
      </c>
      <c r="N186" s="89">
        <v>1798</v>
      </c>
      <c r="O186" s="92">
        <f t="shared" si="7"/>
        <v>7.7308120133481539E-2</v>
      </c>
      <c r="T186" s="97"/>
    </row>
    <row r="187" spans="1:20" ht="18" customHeight="1">
      <c r="A187" s="103"/>
      <c r="B187" s="104"/>
      <c r="C187" s="104"/>
      <c r="D187" s="104"/>
      <c r="E187" s="92"/>
      <c r="F187" s="104"/>
      <c r="G187" s="92"/>
      <c r="H187" s="90">
        <v>2012501</v>
      </c>
      <c r="I187" s="90" t="s">
        <v>1110</v>
      </c>
      <c r="J187" s="143">
        <v>498</v>
      </c>
      <c r="K187" s="143"/>
      <c r="L187" s="87">
        <v>600</v>
      </c>
      <c r="M187" s="92" t="str">
        <f t="shared" si="6"/>
        <v/>
      </c>
      <c r="N187" s="89">
        <v>410</v>
      </c>
      <c r="O187" s="92">
        <f t="shared" si="7"/>
        <v>0.46341463414634143</v>
      </c>
      <c r="T187" s="97"/>
    </row>
    <row r="188" spans="1:20" ht="18" customHeight="1">
      <c r="A188" s="103"/>
      <c r="B188" s="104"/>
      <c r="C188" s="104"/>
      <c r="D188" s="104"/>
      <c r="E188" s="92"/>
      <c r="F188" s="104"/>
      <c r="G188" s="92"/>
      <c r="H188" s="90">
        <v>2012502</v>
      </c>
      <c r="I188" s="90" t="s">
        <v>1111</v>
      </c>
      <c r="J188" s="143">
        <v>0</v>
      </c>
      <c r="K188" s="143"/>
      <c r="L188" s="89"/>
      <c r="M188" s="92" t="str">
        <f t="shared" si="6"/>
        <v/>
      </c>
      <c r="N188" s="89">
        <v>0</v>
      </c>
      <c r="O188" s="92" t="str">
        <f t="shared" si="7"/>
        <v/>
      </c>
      <c r="T188" s="97"/>
    </row>
    <row r="189" spans="1:20" ht="18" customHeight="1">
      <c r="A189" s="103"/>
      <c r="B189" s="104"/>
      <c r="C189" s="104"/>
      <c r="D189" s="104"/>
      <c r="E189" s="92"/>
      <c r="F189" s="104"/>
      <c r="G189" s="92"/>
      <c r="H189" s="90">
        <v>2012503</v>
      </c>
      <c r="I189" s="90" t="s">
        <v>1112</v>
      </c>
      <c r="J189" s="143">
        <v>0</v>
      </c>
      <c r="K189" s="143"/>
      <c r="L189" s="89"/>
      <c r="M189" s="92" t="str">
        <f t="shared" si="6"/>
        <v/>
      </c>
      <c r="N189" s="89">
        <v>0</v>
      </c>
      <c r="O189" s="92" t="str">
        <f t="shared" si="7"/>
        <v/>
      </c>
      <c r="T189" s="97"/>
    </row>
    <row r="190" spans="1:20" ht="18" customHeight="1">
      <c r="A190" s="103"/>
      <c r="B190" s="104"/>
      <c r="C190" s="104"/>
      <c r="D190" s="104"/>
      <c r="E190" s="92"/>
      <c r="F190" s="104"/>
      <c r="G190" s="92"/>
      <c r="H190" s="90">
        <v>2012504</v>
      </c>
      <c r="I190" s="90" t="s">
        <v>1222</v>
      </c>
      <c r="J190" s="143">
        <v>18300</v>
      </c>
      <c r="K190" s="143"/>
      <c r="L190" s="87">
        <v>300</v>
      </c>
      <c r="M190" s="92" t="str">
        <f t="shared" si="6"/>
        <v/>
      </c>
      <c r="N190" s="89">
        <v>100</v>
      </c>
      <c r="O190" s="92">
        <f t="shared" si="7"/>
        <v>2</v>
      </c>
      <c r="T190" s="97"/>
    </row>
    <row r="191" spans="1:20" ht="18" customHeight="1">
      <c r="A191" s="103"/>
      <c r="B191" s="104"/>
      <c r="C191" s="104"/>
      <c r="D191" s="104"/>
      <c r="E191" s="92"/>
      <c r="F191" s="104"/>
      <c r="G191" s="92"/>
      <c r="H191" s="90">
        <v>2012505</v>
      </c>
      <c r="I191" s="90" t="s">
        <v>1223</v>
      </c>
      <c r="J191" s="143">
        <v>319</v>
      </c>
      <c r="K191" s="143"/>
      <c r="L191" s="87">
        <v>207</v>
      </c>
      <c r="M191" s="92" t="str">
        <f t="shared" si="6"/>
        <v/>
      </c>
      <c r="N191" s="89">
        <v>262</v>
      </c>
      <c r="O191" s="92">
        <f t="shared" si="7"/>
        <v>-0.20992366412213737</v>
      </c>
      <c r="T191" s="97"/>
    </row>
    <row r="192" spans="1:20" ht="18" customHeight="1">
      <c r="A192" s="103"/>
      <c r="B192" s="104"/>
      <c r="C192" s="104"/>
      <c r="D192" s="104"/>
      <c r="E192" s="92"/>
      <c r="F192" s="104"/>
      <c r="G192" s="92"/>
      <c r="H192" s="90">
        <v>2012506</v>
      </c>
      <c r="I192" s="90" t="s">
        <v>1224</v>
      </c>
      <c r="J192" s="143">
        <v>1182</v>
      </c>
      <c r="K192" s="143"/>
      <c r="L192" s="87">
        <v>683</v>
      </c>
      <c r="M192" s="92" t="str">
        <f t="shared" si="6"/>
        <v/>
      </c>
      <c r="N192" s="89">
        <v>749</v>
      </c>
      <c r="O192" s="92">
        <f t="shared" si="7"/>
        <v>-8.8117489986648811E-2</v>
      </c>
      <c r="T192" s="97"/>
    </row>
    <row r="193" spans="1:21" ht="18" customHeight="1">
      <c r="A193" s="103"/>
      <c r="B193" s="104"/>
      <c r="C193" s="104"/>
      <c r="D193" s="104"/>
      <c r="E193" s="92"/>
      <c r="F193" s="104"/>
      <c r="G193" s="92"/>
      <c r="H193" s="90">
        <v>2012550</v>
      </c>
      <c r="I193" s="90" t="s">
        <v>1119</v>
      </c>
      <c r="J193" s="143">
        <v>0</v>
      </c>
      <c r="K193" s="143"/>
      <c r="L193" s="89"/>
      <c r="M193" s="92" t="str">
        <f t="shared" si="6"/>
        <v/>
      </c>
      <c r="N193" s="89">
        <v>0</v>
      </c>
      <c r="O193" s="92" t="str">
        <f t="shared" si="7"/>
        <v/>
      </c>
      <c r="T193" s="97"/>
    </row>
    <row r="194" spans="1:21" ht="18" customHeight="1">
      <c r="A194" s="103"/>
      <c r="B194" s="104"/>
      <c r="C194" s="104"/>
      <c r="D194" s="104"/>
      <c r="E194" s="92"/>
      <c r="F194" s="104"/>
      <c r="G194" s="92"/>
      <c r="H194" s="90">
        <v>2012599</v>
      </c>
      <c r="I194" s="90" t="s">
        <v>1225</v>
      </c>
      <c r="J194" s="143">
        <v>21</v>
      </c>
      <c r="K194" s="143"/>
      <c r="L194" s="87">
        <v>147</v>
      </c>
      <c r="M194" s="92" t="str">
        <f t="shared" si="6"/>
        <v/>
      </c>
      <c r="N194" s="89">
        <v>277</v>
      </c>
      <c r="O194" s="92">
        <f t="shared" si="7"/>
        <v>-0.46931407942238268</v>
      </c>
      <c r="T194" s="97"/>
    </row>
    <row r="195" spans="1:21" ht="18" customHeight="1">
      <c r="A195" s="103"/>
      <c r="B195" s="104"/>
      <c r="C195" s="104"/>
      <c r="D195" s="104"/>
      <c r="E195" s="92"/>
      <c r="F195" s="104"/>
      <c r="G195" s="92"/>
      <c r="H195" s="90">
        <v>20126</v>
      </c>
      <c r="I195" s="80" t="s">
        <v>1226</v>
      </c>
      <c r="J195" s="143">
        <v>3101</v>
      </c>
      <c r="K195" s="647">
        <v>3162</v>
      </c>
      <c r="L195" s="87">
        <v>3162</v>
      </c>
      <c r="M195" s="92">
        <f t="shared" si="6"/>
        <v>1</v>
      </c>
      <c r="N195" s="89">
        <v>2276</v>
      </c>
      <c r="O195" s="92">
        <f t="shared" si="7"/>
        <v>0.38927943760984185</v>
      </c>
      <c r="T195" s="97"/>
    </row>
    <row r="196" spans="1:21" ht="18" customHeight="1">
      <c r="A196" s="103"/>
      <c r="B196" s="104"/>
      <c r="C196" s="104"/>
      <c r="D196" s="104"/>
      <c r="E196" s="92"/>
      <c r="F196" s="104"/>
      <c r="G196" s="92"/>
      <c r="H196" s="90">
        <v>2012601</v>
      </c>
      <c r="I196" s="90" t="s">
        <v>1110</v>
      </c>
      <c r="J196" s="143">
        <v>1071</v>
      </c>
      <c r="K196" s="143"/>
      <c r="L196" s="87">
        <v>1450</v>
      </c>
      <c r="M196" s="92" t="str">
        <f t="shared" si="6"/>
        <v/>
      </c>
      <c r="N196" s="89">
        <v>1238</v>
      </c>
      <c r="O196" s="92">
        <f t="shared" si="7"/>
        <v>0.17124394184168024</v>
      </c>
      <c r="T196" s="97"/>
    </row>
    <row r="197" spans="1:21" ht="18" customHeight="1">
      <c r="A197" s="103"/>
      <c r="B197" s="104"/>
      <c r="C197" s="104"/>
      <c r="D197" s="104"/>
      <c r="E197" s="92"/>
      <c r="F197" s="104"/>
      <c r="G197" s="92"/>
      <c r="H197" s="90">
        <v>2012602</v>
      </c>
      <c r="I197" s="90" t="s">
        <v>1111</v>
      </c>
      <c r="J197" s="143">
        <v>0</v>
      </c>
      <c r="K197" s="143"/>
      <c r="L197" s="87">
        <v>13</v>
      </c>
      <c r="M197" s="92" t="str">
        <f t="shared" si="6"/>
        <v/>
      </c>
      <c r="N197" s="89">
        <v>0</v>
      </c>
      <c r="O197" s="92" t="str">
        <f t="shared" si="7"/>
        <v/>
      </c>
      <c r="T197" s="97"/>
    </row>
    <row r="198" spans="1:21" ht="18" customHeight="1">
      <c r="A198" s="103"/>
      <c r="B198" s="104"/>
      <c r="C198" s="104"/>
      <c r="D198" s="104"/>
      <c r="E198" s="92"/>
      <c r="F198" s="104"/>
      <c r="G198" s="92"/>
      <c r="H198" s="90">
        <v>2012603</v>
      </c>
      <c r="I198" s="90" t="s">
        <v>1112</v>
      </c>
      <c r="J198" s="143">
        <v>0</v>
      </c>
      <c r="K198" s="143"/>
      <c r="L198" s="89"/>
      <c r="M198" s="92" t="str">
        <f t="shared" ref="M198:M261" si="8">+IF(ISERROR(L198/K198),"",L198/K198)</f>
        <v/>
      </c>
      <c r="N198" s="89">
        <v>0</v>
      </c>
      <c r="O198" s="92" t="str">
        <f t="shared" si="7"/>
        <v/>
      </c>
      <c r="T198" s="97"/>
    </row>
    <row r="199" spans="1:21" ht="18" customHeight="1">
      <c r="A199" s="103"/>
      <c r="B199" s="104"/>
      <c r="C199" s="104"/>
      <c r="D199" s="104"/>
      <c r="E199" s="92"/>
      <c r="F199" s="104"/>
      <c r="G199" s="92"/>
      <c r="H199" s="90">
        <v>2012604</v>
      </c>
      <c r="I199" s="90" t="s">
        <v>1227</v>
      </c>
      <c r="J199" s="143">
        <v>1278</v>
      </c>
      <c r="K199" s="143"/>
      <c r="L199" s="87">
        <v>921</v>
      </c>
      <c r="M199" s="92" t="str">
        <f t="shared" si="8"/>
        <v/>
      </c>
      <c r="N199" s="89">
        <v>463</v>
      </c>
      <c r="O199" s="92">
        <f t="shared" ref="O199:O262" si="9">IF(ISERROR(L199/N199-1),"",(L199/N199-1))</f>
        <v>0.98920086393088558</v>
      </c>
      <c r="T199" s="97"/>
    </row>
    <row r="200" spans="1:21" ht="18" customHeight="1">
      <c r="A200" s="103"/>
      <c r="B200" s="104"/>
      <c r="C200" s="104"/>
      <c r="D200" s="104"/>
      <c r="E200" s="92"/>
      <c r="F200" s="104"/>
      <c r="G200" s="92"/>
      <c r="H200" s="90">
        <v>2012699</v>
      </c>
      <c r="I200" s="90" t="s">
        <v>1228</v>
      </c>
      <c r="J200" s="143">
        <v>752</v>
      </c>
      <c r="K200" s="143"/>
      <c r="L200" s="87">
        <v>778</v>
      </c>
      <c r="M200" s="92" t="str">
        <f t="shared" si="8"/>
        <v/>
      </c>
      <c r="N200" s="89">
        <v>575</v>
      </c>
      <c r="O200" s="92">
        <f t="shared" si="9"/>
        <v>0.35304347826086957</v>
      </c>
      <c r="T200" s="97"/>
    </row>
    <row r="201" spans="1:21" ht="18" customHeight="1">
      <c r="A201" s="103"/>
      <c r="B201" s="104"/>
      <c r="C201" s="104"/>
      <c r="D201" s="104"/>
      <c r="E201" s="92"/>
      <c r="F201" s="104"/>
      <c r="G201" s="92"/>
      <c r="H201" s="90">
        <v>20128</v>
      </c>
      <c r="I201" s="80" t="s">
        <v>1229</v>
      </c>
      <c r="J201" s="143">
        <v>2953</v>
      </c>
      <c r="K201" s="647">
        <v>8632</v>
      </c>
      <c r="L201" s="87">
        <v>8632</v>
      </c>
      <c r="M201" s="92">
        <f t="shared" si="8"/>
        <v>1</v>
      </c>
      <c r="N201" s="89">
        <v>8631</v>
      </c>
      <c r="O201" s="92">
        <f t="shared" si="9"/>
        <v>1.1586142973007973E-4</v>
      </c>
      <c r="P201" s="75" t="s">
        <v>1229</v>
      </c>
      <c r="Q201" s="63">
        <v>2997</v>
      </c>
      <c r="R201" s="63">
        <v>8631</v>
      </c>
      <c r="S201" s="63">
        <v>8631</v>
      </c>
      <c r="T201" s="97" t="s">
        <v>1226</v>
      </c>
      <c r="U201" s="63">
        <v>2986</v>
      </c>
    </row>
    <row r="202" spans="1:21" ht="18" customHeight="1">
      <c r="A202" s="103"/>
      <c r="B202" s="104"/>
      <c r="C202" s="104"/>
      <c r="D202" s="104"/>
      <c r="E202" s="92"/>
      <c r="F202" s="104"/>
      <c r="G202" s="92"/>
      <c r="H202" s="90">
        <v>2012801</v>
      </c>
      <c r="I202" s="90" t="s">
        <v>1110</v>
      </c>
      <c r="J202" s="143">
        <v>1944</v>
      </c>
      <c r="K202" s="143"/>
      <c r="L202" s="87">
        <v>2254</v>
      </c>
      <c r="M202" s="92" t="str">
        <f t="shared" si="8"/>
        <v/>
      </c>
      <c r="N202" s="89">
        <v>1910</v>
      </c>
      <c r="O202" s="92">
        <f t="shared" si="9"/>
        <v>0.18010471204188483</v>
      </c>
      <c r="P202" s="75" t="s">
        <v>1231</v>
      </c>
      <c r="Q202" s="63">
        <v>6741</v>
      </c>
      <c r="R202" s="63">
        <v>7031</v>
      </c>
      <c r="S202" s="63">
        <v>7031</v>
      </c>
      <c r="T202" s="97" t="s">
        <v>1229</v>
      </c>
      <c r="U202" s="63">
        <v>6016</v>
      </c>
    </row>
    <row r="203" spans="1:21" ht="18" customHeight="1">
      <c r="A203" s="103"/>
      <c r="B203" s="104"/>
      <c r="C203" s="104"/>
      <c r="D203" s="104"/>
      <c r="E203" s="92"/>
      <c r="F203" s="104"/>
      <c r="G203" s="92"/>
      <c r="H203" s="90">
        <v>2012802</v>
      </c>
      <c r="I203" s="90" t="s">
        <v>1111</v>
      </c>
      <c r="J203" s="143">
        <v>901</v>
      </c>
      <c r="K203" s="143"/>
      <c r="L203" s="87">
        <v>6142</v>
      </c>
      <c r="M203" s="92" t="str">
        <f t="shared" si="8"/>
        <v/>
      </c>
      <c r="N203" s="89">
        <v>6280</v>
      </c>
      <c r="O203" s="92">
        <f t="shared" si="9"/>
        <v>-2.1974522292993681E-2</v>
      </c>
      <c r="P203" s="75" t="s">
        <v>1235</v>
      </c>
      <c r="Q203" s="63">
        <v>6222</v>
      </c>
      <c r="R203" s="63">
        <v>5280</v>
      </c>
      <c r="S203" s="63">
        <v>5275</v>
      </c>
      <c r="T203" s="97" t="s">
        <v>1231</v>
      </c>
      <c r="U203" s="63">
        <v>7633</v>
      </c>
    </row>
    <row r="204" spans="1:21" ht="18" customHeight="1">
      <c r="A204" s="103"/>
      <c r="B204" s="104"/>
      <c r="C204" s="104"/>
      <c r="D204" s="104"/>
      <c r="E204" s="92"/>
      <c r="F204" s="104"/>
      <c r="G204" s="92"/>
      <c r="H204" s="90">
        <v>2012803</v>
      </c>
      <c r="I204" s="90" t="s">
        <v>1112</v>
      </c>
      <c r="J204" s="143">
        <v>0</v>
      </c>
      <c r="K204" s="143"/>
      <c r="L204" s="89"/>
      <c r="M204" s="92" t="str">
        <f t="shared" si="8"/>
        <v/>
      </c>
      <c r="N204" s="89">
        <v>0</v>
      </c>
      <c r="O204" s="92" t="str">
        <f t="shared" si="9"/>
        <v/>
      </c>
      <c r="P204" s="75" t="s">
        <v>1238</v>
      </c>
      <c r="Q204" s="63">
        <v>3407</v>
      </c>
      <c r="R204" s="63">
        <v>3111</v>
      </c>
      <c r="S204" s="63">
        <v>3066</v>
      </c>
      <c r="T204" s="97" t="s">
        <v>1235</v>
      </c>
      <c r="U204" s="63">
        <v>5543</v>
      </c>
    </row>
    <row r="205" spans="1:21" ht="18" customHeight="1">
      <c r="A205" s="103"/>
      <c r="B205" s="104"/>
      <c r="C205" s="104"/>
      <c r="D205" s="104"/>
      <c r="E205" s="92"/>
      <c r="F205" s="104"/>
      <c r="G205" s="92"/>
      <c r="H205" s="90">
        <v>2012804</v>
      </c>
      <c r="I205" s="90" t="s">
        <v>1124</v>
      </c>
      <c r="J205" s="143">
        <v>31</v>
      </c>
      <c r="K205" s="143"/>
      <c r="L205" s="87">
        <v>29</v>
      </c>
      <c r="M205" s="92" t="str">
        <f t="shared" si="8"/>
        <v/>
      </c>
      <c r="N205" s="89">
        <v>25</v>
      </c>
      <c r="O205" s="92">
        <f t="shared" si="9"/>
        <v>0.15999999999999992</v>
      </c>
      <c r="P205" s="75" t="s">
        <v>1240</v>
      </c>
      <c r="Q205" s="63">
        <v>3207</v>
      </c>
      <c r="R205" s="63">
        <v>3282</v>
      </c>
      <c r="S205" s="63">
        <v>3262</v>
      </c>
      <c r="T205" s="97" t="s">
        <v>1238</v>
      </c>
      <c r="U205" s="63">
        <v>3321</v>
      </c>
    </row>
    <row r="206" spans="1:21" ht="18" customHeight="1">
      <c r="A206" s="103"/>
      <c r="B206" s="104"/>
      <c r="C206" s="104"/>
      <c r="D206" s="104"/>
      <c r="E206" s="92"/>
      <c r="F206" s="104"/>
      <c r="G206" s="92"/>
      <c r="H206" s="90">
        <v>2012850</v>
      </c>
      <c r="I206" s="90" t="s">
        <v>1119</v>
      </c>
      <c r="J206" s="143">
        <v>0</v>
      </c>
      <c r="K206" s="143"/>
      <c r="L206" s="89"/>
      <c r="M206" s="92" t="str">
        <f t="shared" si="8"/>
        <v/>
      </c>
      <c r="N206" s="89">
        <v>0</v>
      </c>
      <c r="O206" s="92" t="str">
        <f t="shared" si="9"/>
        <v/>
      </c>
      <c r="P206" s="75" t="s">
        <v>1242</v>
      </c>
      <c r="Q206" s="63">
        <v>3203</v>
      </c>
      <c r="R206" s="63">
        <v>3267</v>
      </c>
      <c r="S206" s="63">
        <v>3267</v>
      </c>
      <c r="T206" s="97" t="s">
        <v>1240</v>
      </c>
      <c r="U206" s="63">
        <v>2618</v>
      </c>
    </row>
    <row r="207" spans="1:21" ht="18" customHeight="1">
      <c r="A207" s="103"/>
      <c r="B207" s="104"/>
      <c r="C207" s="104"/>
      <c r="D207" s="104"/>
      <c r="E207" s="92"/>
      <c r="F207" s="104"/>
      <c r="G207" s="92"/>
      <c r="H207" s="90">
        <v>2012899</v>
      </c>
      <c r="I207" s="90" t="s">
        <v>1230</v>
      </c>
      <c r="J207" s="143">
        <v>77</v>
      </c>
      <c r="K207" s="143"/>
      <c r="L207" s="87">
        <v>207</v>
      </c>
      <c r="M207" s="92" t="str">
        <f t="shared" si="8"/>
        <v/>
      </c>
      <c r="N207" s="89">
        <v>416</v>
      </c>
      <c r="O207" s="92">
        <f t="shared" si="9"/>
        <v>-0.50240384615384615</v>
      </c>
      <c r="P207" s="75" t="s">
        <v>1244</v>
      </c>
      <c r="Q207" s="63">
        <v>0</v>
      </c>
      <c r="R207" s="63">
        <v>0</v>
      </c>
      <c r="S207" s="63">
        <v>0</v>
      </c>
      <c r="T207" s="97" t="s">
        <v>1242</v>
      </c>
      <c r="U207" s="63">
        <v>2649</v>
      </c>
    </row>
    <row r="208" spans="1:21" ht="18" customHeight="1">
      <c r="A208" s="103"/>
      <c r="B208" s="104"/>
      <c r="C208" s="104"/>
      <c r="D208" s="104"/>
      <c r="E208" s="92"/>
      <c r="F208" s="104"/>
      <c r="G208" s="92"/>
      <c r="H208" s="90">
        <v>20129</v>
      </c>
      <c r="I208" s="80" t="s">
        <v>1231</v>
      </c>
      <c r="J208" s="143">
        <v>9596</v>
      </c>
      <c r="K208" s="647">
        <v>8973</v>
      </c>
      <c r="L208" s="87">
        <v>8973</v>
      </c>
      <c r="M208" s="92">
        <f t="shared" si="8"/>
        <v>1</v>
      </c>
      <c r="N208" s="89">
        <v>7031</v>
      </c>
      <c r="O208" s="92">
        <f t="shared" si="9"/>
        <v>0.27620537619115337</v>
      </c>
      <c r="P208" s="75" t="s">
        <v>1013</v>
      </c>
      <c r="Q208" s="63">
        <v>17477</v>
      </c>
      <c r="R208" s="63">
        <v>16364</v>
      </c>
      <c r="S208" s="63">
        <v>16209</v>
      </c>
      <c r="T208" s="97" t="s">
        <v>1244</v>
      </c>
      <c r="U208" s="63">
        <v>0</v>
      </c>
    </row>
    <row r="209" spans="1:21" ht="18" customHeight="1">
      <c r="A209" s="103"/>
      <c r="B209" s="104"/>
      <c r="C209" s="104"/>
      <c r="D209" s="104"/>
      <c r="E209" s="92"/>
      <c r="F209" s="104"/>
      <c r="G209" s="92"/>
      <c r="H209" s="90">
        <v>2012901</v>
      </c>
      <c r="I209" s="90" t="s">
        <v>1110</v>
      </c>
      <c r="J209" s="143">
        <v>2629</v>
      </c>
      <c r="K209" s="143"/>
      <c r="L209" s="87">
        <v>3131</v>
      </c>
      <c r="M209" s="92" t="str">
        <f t="shared" si="8"/>
        <v/>
      </c>
      <c r="N209" s="89">
        <v>2562</v>
      </c>
      <c r="O209" s="92">
        <f t="shared" si="9"/>
        <v>0.2220921155347384</v>
      </c>
      <c r="P209" s="75" t="s">
        <v>1014</v>
      </c>
      <c r="Q209" s="63">
        <v>71771</v>
      </c>
      <c r="R209" s="63">
        <v>69399</v>
      </c>
      <c r="S209" s="63">
        <v>68695</v>
      </c>
      <c r="T209" s="97" t="s">
        <v>1013</v>
      </c>
      <c r="U209" s="63">
        <v>16185</v>
      </c>
    </row>
    <row r="210" spans="1:21" ht="18" customHeight="1">
      <c r="A210" s="103"/>
      <c r="B210" s="104"/>
      <c r="C210" s="104"/>
      <c r="D210" s="104"/>
      <c r="E210" s="92"/>
      <c r="F210" s="104"/>
      <c r="G210" s="92"/>
      <c r="H210" s="90">
        <v>2012902</v>
      </c>
      <c r="I210" s="90" t="s">
        <v>1111</v>
      </c>
      <c r="J210" s="143">
        <v>1762</v>
      </c>
      <c r="K210" s="143"/>
      <c r="L210" s="87">
        <v>1666</v>
      </c>
      <c r="M210" s="92" t="str">
        <f t="shared" si="8"/>
        <v/>
      </c>
      <c r="N210" s="89">
        <v>1786</v>
      </c>
      <c r="O210" s="92">
        <f t="shared" si="9"/>
        <v>-6.7189249720044808E-2</v>
      </c>
      <c r="P210" s="75" t="s">
        <v>1251</v>
      </c>
      <c r="Q210" s="63">
        <v>0</v>
      </c>
      <c r="R210" s="63">
        <v>0</v>
      </c>
      <c r="S210" s="63">
        <v>0</v>
      </c>
      <c r="T210" s="97" t="s">
        <v>1014</v>
      </c>
      <c r="U210" s="63">
        <v>65407</v>
      </c>
    </row>
    <row r="211" spans="1:21" ht="18" customHeight="1">
      <c r="A211" s="103"/>
      <c r="B211" s="104"/>
      <c r="C211" s="104"/>
      <c r="D211" s="104"/>
      <c r="E211" s="92"/>
      <c r="F211" s="104"/>
      <c r="G211" s="92"/>
      <c r="H211" s="90">
        <v>2012903</v>
      </c>
      <c r="I211" s="90" t="s">
        <v>1112</v>
      </c>
      <c r="J211" s="143">
        <v>0</v>
      </c>
      <c r="K211" s="143"/>
      <c r="L211" s="89"/>
      <c r="M211" s="92" t="str">
        <f t="shared" si="8"/>
        <v/>
      </c>
      <c r="N211" s="89">
        <v>0</v>
      </c>
      <c r="O211" s="92" t="str">
        <f t="shared" si="9"/>
        <v/>
      </c>
      <c r="P211" s="75" t="s">
        <v>1252</v>
      </c>
      <c r="Q211" s="63">
        <v>0</v>
      </c>
      <c r="R211" s="63">
        <v>0</v>
      </c>
      <c r="S211" s="63">
        <v>0</v>
      </c>
      <c r="T211" s="96" t="s">
        <v>1052</v>
      </c>
      <c r="U211" s="63">
        <v>0</v>
      </c>
    </row>
    <row r="212" spans="1:21" ht="18" customHeight="1">
      <c r="A212" s="103"/>
      <c r="B212" s="104"/>
      <c r="C212" s="104"/>
      <c r="D212" s="104"/>
      <c r="E212" s="92"/>
      <c r="F212" s="104"/>
      <c r="G212" s="92"/>
      <c r="H212" s="90">
        <v>2012904</v>
      </c>
      <c r="I212" s="90" t="s">
        <v>1232</v>
      </c>
      <c r="J212" s="143">
        <v>0</v>
      </c>
      <c r="K212" s="143"/>
      <c r="L212" s="89"/>
      <c r="M212" s="92" t="str">
        <f t="shared" si="8"/>
        <v/>
      </c>
      <c r="N212" s="89">
        <v>0</v>
      </c>
      <c r="O212" s="92" t="str">
        <f t="shared" si="9"/>
        <v/>
      </c>
      <c r="P212" s="75" t="s">
        <v>1254</v>
      </c>
      <c r="Q212" s="63">
        <v>0</v>
      </c>
      <c r="R212" s="63">
        <v>0</v>
      </c>
      <c r="S212" s="63">
        <v>0</v>
      </c>
      <c r="T212" s="97" t="s">
        <v>1252</v>
      </c>
      <c r="U212" s="63">
        <v>0</v>
      </c>
    </row>
    <row r="213" spans="1:21" ht="18" customHeight="1">
      <c r="A213" s="103"/>
      <c r="B213" s="104"/>
      <c r="C213" s="104"/>
      <c r="D213" s="104"/>
      <c r="E213" s="92"/>
      <c r="F213" s="104"/>
      <c r="G213" s="92"/>
      <c r="H213" s="90">
        <v>2012905</v>
      </c>
      <c r="I213" s="90" t="s">
        <v>1233</v>
      </c>
      <c r="J213" s="143">
        <v>0</v>
      </c>
      <c r="K213" s="143"/>
      <c r="L213" s="89"/>
      <c r="M213" s="92" t="str">
        <f t="shared" si="8"/>
        <v/>
      </c>
      <c r="N213" s="89">
        <v>0</v>
      </c>
      <c r="O213" s="92" t="str">
        <f t="shared" si="9"/>
        <v/>
      </c>
      <c r="P213" s="75" t="s">
        <v>1257</v>
      </c>
      <c r="Q213" s="63">
        <v>0</v>
      </c>
      <c r="R213" s="63">
        <v>0</v>
      </c>
      <c r="S213" s="63">
        <v>0</v>
      </c>
      <c r="T213" s="97" t="s">
        <v>1254</v>
      </c>
      <c r="U213" s="63">
        <v>0</v>
      </c>
    </row>
    <row r="214" spans="1:21" ht="18" customHeight="1">
      <c r="A214" s="103"/>
      <c r="B214" s="104"/>
      <c r="C214" s="104"/>
      <c r="D214" s="104"/>
      <c r="E214" s="92"/>
      <c r="F214" s="104"/>
      <c r="G214" s="92"/>
      <c r="H214" s="90">
        <v>2012950</v>
      </c>
      <c r="I214" s="90" t="s">
        <v>1119</v>
      </c>
      <c r="J214" s="143">
        <v>0</v>
      </c>
      <c r="K214" s="143"/>
      <c r="L214" s="89"/>
      <c r="M214" s="92" t="str">
        <f t="shared" si="8"/>
        <v/>
      </c>
      <c r="N214" s="89">
        <v>0</v>
      </c>
      <c r="O214" s="92" t="str">
        <f t="shared" si="9"/>
        <v/>
      </c>
      <c r="P214" s="75" t="s">
        <v>1</v>
      </c>
      <c r="Q214" s="63">
        <v>0</v>
      </c>
      <c r="R214" s="63">
        <v>0</v>
      </c>
      <c r="S214" s="63">
        <v>0</v>
      </c>
      <c r="T214" s="97" t="s">
        <v>1257</v>
      </c>
      <c r="U214" s="63">
        <v>0</v>
      </c>
    </row>
    <row r="215" spans="1:21" ht="18" customHeight="1">
      <c r="A215" s="103"/>
      <c r="B215" s="104"/>
      <c r="C215" s="104"/>
      <c r="D215" s="104"/>
      <c r="E215" s="92"/>
      <c r="F215" s="104"/>
      <c r="G215" s="92"/>
      <c r="H215" s="90">
        <v>2012999</v>
      </c>
      <c r="I215" s="90" t="s">
        <v>1234</v>
      </c>
      <c r="J215" s="143">
        <v>5205</v>
      </c>
      <c r="K215" s="143"/>
      <c r="L215" s="87">
        <v>4176</v>
      </c>
      <c r="M215" s="92" t="str">
        <f t="shared" si="8"/>
        <v/>
      </c>
      <c r="N215" s="89">
        <v>2683</v>
      </c>
      <c r="O215" s="92">
        <f t="shared" si="9"/>
        <v>0.55646664181885952</v>
      </c>
      <c r="P215" s="75" t="s">
        <v>7</v>
      </c>
      <c r="Q215" s="63">
        <v>0</v>
      </c>
      <c r="R215" s="63">
        <v>0</v>
      </c>
      <c r="S215" s="63">
        <v>0</v>
      </c>
      <c r="T215" s="97" t="s">
        <v>1</v>
      </c>
      <c r="U215" s="63">
        <v>0</v>
      </c>
    </row>
    <row r="216" spans="1:21" ht="18" customHeight="1">
      <c r="A216" s="103"/>
      <c r="B216" s="104"/>
      <c r="C216" s="104"/>
      <c r="D216" s="104"/>
      <c r="E216" s="92"/>
      <c r="F216" s="104"/>
      <c r="G216" s="92"/>
      <c r="H216" s="90">
        <v>20131</v>
      </c>
      <c r="I216" s="80" t="s">
        <v>1235</v>
      </c>
      <c r="J216" s="136">
        <v>6959</v>
      </c>
      <c r="K216" s="647">
        <v>6114</v>
      </c>
      <c r="L216" s="87">
        <v>6114</v>
      </c>
      <c r="M216" s="92">
        <f t="shared" si="8"/>
        <v>1</v>
      </c>
      <c r="N216" s="89">
        <v>5275</v>
      </c>
      <c r="O216" s="92">
        <f t="shared" si="9"/>
        <v>0.15905213270142182</v>
      </c>
      <c r="P216" s="75" t="s">
        <v>1015</v>
      </c>
      <c r="Q216" s="63">
        <v>0</v>
      </c>
      <c r="R216" s="63">
        <v>0</v>
      </c>
      <c r="S216" s="63">
        <v>0</v>
      </c>
      <c r="T216" s="97" t="s">
        <v>7</v>
      </c>
      <c r="U216" s="63">
        <v>0</v>
      </c>
    </row>
    <row r="217" spans="1:21" ht="18" customHeight="1">
      <c r="A217" s="103"/>
      <c r="B217" s="104"/>
      <c r="C217" s="104"/>
      <c r="D217" s="104"/>
      <c r="E217" s="92"/>
      <c r="F217" s="104"/>
      <c r="G217" s="92"/>
      <c r="H217" s="90">
        <v>2013101</v>
      </c>
      <c r="I217" s="90" t="s">
        <v>1110</v>
      </c>
      <c r="J217" s="143">
        <v>3532</v>
      </c>
      <c r="K217" s="143"/>
      <c r="L217" s="87">
        <v>4094</v>
      </c>
      <c r="M217" s="92" t="str">
        <f t="shared" si="8"/>
        <v/>
      </c>
      <c r="N217" s="89">
        <v>3131</v>
      </c>
      <c r="O217" s="92">
        <f t="shared" si="9"/>
        <v>0.3075694666240818</v>
      </c>
      <c r="P217" s="75" t="s">
        <v>14</v>
      </c>
      <c r="Q217" s="63">
        <v>0</v>
      </c>
      <c r="R217" s="63">
        <v>0</v>
      </c>
      <c r="S217" s="63">
        <v>0</v>
      </c>
      <c r="T217" s="97" t="s">
        <v>1015</v>
      </c>
      <c r="U217" s="63">
        <v>0</v>
      </c>
    </row>
    <row r="218" spans="1:21" ht="18" customHeight="1">
      <c r="A218" s="103"/>
      <c r="B218" s="104"/>
      <c r="C218" s="104"/>
      <c r="D218" s="104"/>
      <c r="E218" s="92"/>
      <c r="F218" s="104"/>
      <c r="G218" s="92"/>
      <c r="H218" s="90">
        <v>2013102</v>
      </c>
      <c r="I218" s="90" t="s">
        <v>1111</v>
      </c>
      <c r="J218" s="143">
        <v>328</v>
      </c>
      <c r="K218" s="143"/>
      <c r="L218" s="87">
        <v>106</v>
      </c>
      <c r="M218" s="92" t="str">
        <f t="shared" si="8"/>
        <v/>
      </c>
      <c r="N218" s="89">
        <v>167</v>
      </c>
      <c r="O218" s="92">
        <f t="shared" si="9"/>
        <v>-0.3652694610778443</v>
      </c>
      <c r="P218" s="75" t="s">
        <v>1016</v>
      </c>
      <c r="Q218" s="63">
        <v>0</v>
      </c>
      <c r="R218" s="63">
        <v>0</v>
      </c>
      <c r="S218" s="63">
        <v>0</v>
      </c>
      <c r="T218" s="97" t="s">
        <v>14</v>
      </c>
      <c r="U218" s="63">
        <v>0</v>
      </c>
    </row>
    <row r="219" spans="1:21" ht="18" customHeight="1">
      <c r="A219" s="103"/>
      <c r="B219" s="104"/>
      <c r="C219" s="104"/>
      <c r="D219" s="104"/>
      <c r="E219" s="92"/>
      <c r="F219" s="104"/>
      <c r="G219" s="92"/>
      <c r="H219" s="90">
        <v>2013103</v>
      </c>
      <c r="I219" s="90" t="s">
        <v>1112</v>
      </c>
      <c r="J219" s="143">
        <v>0</v>
      </c>
      <c r="K219" s="143"/>
      <c r="L219" s="89"/>
      <c r="M219" s="92" t="str">
        <f t="shared" si="8"/>
        <v/>
      </c>
      <c r="N219" s="89">
        <v>0</v>
      </c>
      <c r="O219" s="92" t="str">
        <f t="shared" si="9"/>
        <v/>
      </c>
      <c r="P219" s="75" t="s">
        <v>21</v>
      </c>
      <c r="Q219" s="63">
        <v>11574</v>
      </c>
      <c r="R219" s="63">
        <v>13595</v>
      </c>
      <c r="S219" s="63">
        <v>13595</v>
      </c>
      <c r="T219" s="97" t="s">
        <v>1016</v>
      </c>
      <c r="U219" s="63">
        <v>0</v>
      </c>
    </row>
    <row r="220" spans="1:21" ht="18" customHeight="1">
      <c r="A220" s="103"/>
      <c r="B220" s="104"/>
      <c r="C220" s="104"/>
      <c r="D220" s="104"/>
      <c r="E220" s="92"/>
      <c r="F220" s="104"/>
      <c r="G220" s="92"/>
      <c r="H220" s="90">
        <v>2013105</v>
      </c>
      <c r="I220" s="90" t="s">
        <v>1236</v>
      </c>
      <c r="J220" s="143">
        <v>3034</v>
      </c>
      <c r="K220" s="143"/>
      <c r="L220" s="87">
        <v>1899</v>
      </c>
      <c r="M220" s="92" t="str">
        <f t="shared" si="8"/>
        <v/>
      </c>
      <c r="N220" s="89">
        <v>1977</v>
      </c>
      <c r="O220" s="92">
        <f t="shared" si="9"/>
        <v>-3.9453717754172946E-2</v>
      </c>
      <c r="P220" s="75" t="s">
        <v>1017</v>
      </c>
      <c r="Q220" s="63">
        <v>0</v>
      </c>
      <c r="R220" s="63">
        <v>0</v>
      </c>
      <c r="S220" s="63">
        <v>0</v>
      </c>
      <c r="T220" s="96" t="s">
        <v>1053</v>
      </c>
      <c r="U220" s="63">
        <v>10170</v>
      </c>
    </row>
    <row r="221" spans="1:21" ht="18" customHeight="1">
      <c r="A221" s="103"/>
      <c r="B221" s="104"/>
      <c r="C221" s="104"/>
      <c r="D221" s="104"/>
      <c r="E221" s="92"/>
      <c r="F221" s="104"/>
      <c r="G221" s="92"/>
      <c r="H221" s="90">
        <v>2013150</v>
      </c>
      <c r="I221" s="90" t="s">
        <v>1119</v>
      </c>
      <c r="J221" s="143">
        <v>0</v>
      </c>
      <c r="K221" s="143"/>
      <c r="L221" s="89"/>
      <c r="M221" s="92" t="str">
        <f t="shared" si="8"/>
        <v/>
      </c>
      <c r="N221" s="89">
        <v>0</v>
      </c>
      <c r="O221" s="92" t="str">
        <f t="shared" si="9"/>
        <v/>
      </c>
      <c r="P221" s="75" t="s">
        <v>1018</v>
      </c>
      <c r="Q221" s="63">
        <v>0</v>
      </c>
      <c r="R221" s="63">
        <v>0</v>
      </c>
      <c r="S221" s="63">
        <v>0</v>
      </c>
      <c r="T221" s="97" t="s">
        <v>1017</v>
      </c>
      <c r="U221" s="63">
        <v>0</v>
      </c>
    </row>
    <row r="222" spans="1:21" ht="18" customHeight="1">
      <c r="A222" s="103"/>
      <c r="B222" s="104"/>
      <c r="C222" s="104"/>
      <c r="D222" s="104"/>
      <c r="E222" s="92"/>
      <c r="F222" s="104"/>
      <c r="G222" s="92"/>
      <c r="H222" s="90">
        <v>2013199</v>
      </c>
      <c r="I222" s="90" t="s">
        <v>1237</v>
      </c>
      <c r="J222" s="143">
        <v>65</v>
      </c>
      <c r="K222" s="143"/>
      <c r="L222" s="87">
        <v>15</v>
      </c>
      <c r="M222" s="92" t="str">
        <f t="shared" si="8"/>
        <v/>
      </c>
      <c r="N222" s="89">
        <v>0</v>
      </c>
      <c r="O222" s="92" t="str">
        <f t="shared" si="9"/>
        <v/>
      </c>
      <c r="P222" s="75" t="s">
        <v>1019</v>
      </c>
      <c r="Q222" s="63">
        <v>0</v>
      </c>
      <c r="R222" s="63">
        <v>0</v>
      </c>
      <c r="S222" s="63">
        <v>0</v>
      </c>
      <c r="T222" s="97" t="s">
        <v>1054</v>
      </c>
      <c r="U222" s="63">
        <v>0</v>
      </c>
    </row>
    <row r="223" spans="1:21" ht="18" customHeight="1">
      <c r="A223" s="103"/>
      <c r="B223" s="104"/>
      <c r="C223" s="104"/>
      <c r="D223" s="104"/>
      <c r="E223" s="92"/>
      <c r="F223" s="104"/>
      <c r="G223" s="92"/>
      <c r="H223" s="90">
        <v>20132</v>
      </c>
      <c r="I223" s="80" t="s">
        <v>1238</v>
      </c>
      <c r="J223" s="136">
        <v>3644</v>
      </c>
      <c r="K223" s="647">
        <v>4098</v>
      </c>
      <c r="L223" s="87">
        <v>4097</v>
      </c>
      <c r="M223" s="92">
        <f t="shared" si="8"/>
        <v>0.99975597852611031</v>
      </c>
      <c r="N223" s="89">
        <v>3066</v>
      </c>
      <c r="O223" s="92">
        <f t="shared" si="9"/>
        <v>0.33626875407697332</v>
      </c>
      <c r="P223" s="75" t="s">
        <v>28</v>
      </c>
      <c r="Q223" s="63">
        <v>1574</v>
      </c>
      <c r="R223" s="63">
        <v>1652</v>
      </c>
      <c r="S223" s="63">
        <v>1652</v>
      </c>
      <c r="T223" s="97" t="s">
        <v>1055</v>
      </c>
      <c r="U223" s="63">
        <v>1586</v>
      </c>
    </row>
    <row r="224" spans="1:21" ht="18" customHeight="1">
      <c r="A224" s="103"/>
      <c r="B224" s="104"/>
      <c r="C224" s="104"/>
      <c r="D224" s="104"/>
      <c r="E224" s="92"/>
      <c r="F224" s="104"/>
      <c r="G224" s="92"/>
      <c r="H224" s="90">
        <v>2013201</v>
      </c>
      <c r="I224" s="90" t="s">
        <v>1110</v>
      </c>
      <c r="J224" s="143">
        <v>2896</v>
      </c>
      <c r="K224" s="143"/>
      <c r="L224" s="87">
        <v>2829</v>
      </c>
      <c r="M224" s="92" t="str">
        <f t="shared" si="8"/>
        <v/>
      </c>
      <c r="N224" s="89">
        <v>2352</v>
      </c>
      <c r="O224" s="92">
        <f t="shared" si="9"/>
        <v>0.20280612244897966</v>
      </c>
      <c r="P224" s="75" t="s">
        <v>1020</v>
      </c>
      <c r="Q224" s="63">
        <v>10000</v>
      </c>
      <c r="R224" s="63">
        <v>11943</v>
      </c>
      <c r="S224" s="63">
        <v>11943</v>
      </c>
      <c r="T224" s="97" t="s">
        <v>1018</v>
      </c>
      <c r="U224" s="63">
        <v>0</v>
      </c>
    </row>
    <row r="225" spans="1:21" ht="18" customHeight="1">
      <c r="A225" s="103"/>
      <c r="B225" s="104"/>
      <c r="C225" s="104"/>
      <c r="D225" s="104"/>
      <c r="E225" s="92"/>
      <c r="F225" s="104"/>
      <c r="G225" s="92"/>
      <c r="H225" s="90">
        <v>2013202</v>
      </c>
      <c r="I225" s="90" t="s">
        <v>1111</v>
      </c>
      <c r="J225" s="143">
        <v>0</v>
      </c>
      <c r="K225" s="143"/>
      <c r="L225" s="87">
        <v>112</v>
      </c>
      <c r="M225" s="92" t="str">
        <f t="shared" si="8"/>
        <v/>
      </c>
      <c r="N225" s="89">
        <v>0</v>
      </c>
      <c r="O225" s="92" t="str">
        <f t="shared" si="9"/>
        <v/>
      </c>
      <c r="P225" s="75" t="s">
        <v>40</v>
      </c>
      <c r="Q225" s="63">
        <v>434142</v>
      </c>
      <c r="R225" s="63">
        <v>456170</v>
      </c>
      <c r="S225" s="63">
        <v>439467</v>
      </c>
      <c r="T225" s="97" t="s">
        <v>1019</v>
      </c>
      <c r="U225" s="63">
        <v>0</v>
      </c>
    </row>
    <row r="226" spans="1:21" ht="18" customHeight="1">
      <c r="A226" s="103"/>
      <c r="B226" s="104"/>
      <c r="C226" s="104"/>
      <c r="D226" s="104"/>
      <c r="E226" s="92"/>
      <c r="F226" s="104"/>
      <c r="G226" s="92"/>
      <c r="H226" s="90">
        <v>2013203</v>
      </c>
      <c r="I226" s="90" t="s">
        <v>1112</v>
      </c>
      <c r="J226" s="136">
        <v>572</v>
      </c>
      <c r="K226" s="136"/>
      <c r="L226" s="87">
        <v>730</v>
      </c>
      <c r="M226" s="92" t="str">
        <f t="shared" si="8"/>
        <v/>
      </c>
      <c r="N226" s="89">
        <v>703</v>
      </c>
      <c r="O226" s="92">
        <f t="shared" si="9"/>
        <v>3.8406827880512084E-2</v>
      </c>
      <c r="P226" s="75" t="s">
        <v>41</v>
      </c>
      <c r="Q226" s="63">
        <v>25000</v>
      </c>
      <c r="R226" s="63">
        <v>37600</v>
      </c>
      <c r="S226" s="63">
        <v>37600</v>
      </c>
      <c r="T226" s="97" t="s">
        <v>28</v>
      </c>
      <c r="U226" s="63">
        <v>0</v>
      </c>
    </row>
    <row r="227" spans="1:21" ht="18" customHeight="1">
      <c r="A227" s="103"/>
      <c r="B227" s="104"/>
      <c r="C227" s="104"/>
      <c r="D227" s="104"/>
      <c r="E227" s="92"/>
      <c r="F227" s="104"/>
      <c r="G227" s="92"/>
      <c r="H227" s="90">
        <v>2013250</v>
      </c>
      <c r="I227" s="90" t="s">
        <v>1119</v>
      </c>
      <c r="J227" s="136">
        <v>0</v>
      </c>
      <c r="K227" s="136"/>
      <c r="L227" s="87">
        <v>326</v>
      </c>
      <c r="M227" s="92" t="str">
        <f t="shared" si="8"/>
        <v/>
      </c>
      <c r="N227" s="89">
        <v>11</v>
      </c>
      <c r="O227" s="92">
        <f t="shared" si="9"/>
        <v>28.636363636363637</v>
      </c>
      <c r="P227" s="75" t="s">
        <v>51</v>
      </c>
      <c r="Q227" s="63">
        <v>226431</v>
      </c>
      <c r="R227" s="63">
        <v>254489</v>
      </c>
      <c r="S227" s="63">
        <v>239110</v>
      </c>
      <c r="T227" s="97" t="s">
        <v>1020</v>
      </c>
      <c r="U227" s="63">
        <v>8584</v>
      </c>
    </row>
    <row r="228" spans="1:21" ht="18" customHeight="1">
      <c r="A228" s="103"/>
      <c r="B228" s="104"/>
      <c r="C228" s="104"/>
      <c r="D228" s="104"/>
      <c r="E228" s="92"/>
      <c r="F228" s="104"/>
      <c r="G228" s="92"/>
      <c r="H228" s="90">
        <v>2013299</v>
      </c>
      <c r="I228" s="90" t="s">
        <v>1239</v>
      </c>
      <c r="J228" s="143">
        <v>176</v>
      </c>
      <c r="K228" s="143"/>
      <c r="L228" s="87">
        <v>100</v>
      </c>
      <c r="M228" s="92" t="str">
        <f t="shared" si="8"/>
        <v/>
      </c>
      <c r="N228" s="89">
        <v>0</v>
      </c>
      <c r="O228" s="92" t="str">
        <f t="shared" si="9"/>
        <v/>
      </c>
      <c r="P228" s="75" t="s">
        <v>68</v>
      </c>
      <c r="Q228" s="63">
        <v>12271</v>
      </c>
      <c r="R228" s="63">
        <v>14266</v>
      </c>
      <c r="S228" s="63">
        <v>14266</v>
      </c>
      <c r="T228" s="96" t="s">
        <v>1056</v>
      </c>
      <c r="U228" s="63">
        <v>411498</v>
      </c>
    </row>
    <row r="229" spans="1:21" ht="18" customHeight="1">
      <c r="A229" s="103"/>
      <c r="B229" s="104"/>
      <c r="C229" s="104"/>
      <c r="D229" s="104"/>
      <c r="E229" s="92"/>
      <c r="F229" s="104"/>
      <c r="G229" s="92"/>
      <c r="H229" s="90">
        <v>20133</v>
      </c>
      <c r="I229" s="80" t="s">
        <v>1240</v>
      </c>
      <c r="J229" s="136">
        <v>3430</v>
      </c>
      <c r="K229" s="647">
        <v>3591</v>
      </c>
      <c r="L229" s="87">
        <v>3591</v>
      </c>
      <c r="M229" s="92">
        <f t="shared" si="8"/>
        <v>1</v>
      </c>
      <c r="N229" s="89">
        <v>3262</v>
      </c>
      <c r="O229" s="92">
        <f t="shared" si="9"/>
        <v>0.10085836909871237</v>
      </c>
      <c r="P229" s="75" t="s">
        <v>71</v>
      </c>
      <c r="Q229" s="63">
        <v>15627</v>
      </c>
      <c r="R229" s="63">
        <v>16726</v>
      </c>
      <c r="S229" s="63">
        <v>16029</v>
      </c>
      <c r="T229" s="97" t="s">
        <v>41</v>
      </c>
      <c r="U229" s="63">
        <v>43504</v>
      </c>
    </row>
    <row r="230" spans="1:21" ht="18" customHeight="1">
      <c r="A230" s="103"/>
      <c r="B230" s="104"/>
      <c r="C230" s="104"/>
      <c r="D230" s="104"/>
      <c r="E230" s="92"/>
      <c r="F230" s="104"/>
      <c r="G230" s="92"/>
      <c r="H230" s="90">
        <v>2013301</v>
      </c>
      <c r="I230" s="90" t="s">
        <v>1110</v>
      </c>
      <c r="J230" s="143">
        <v>1853</v>
      </c>
      <c r="K230" s="143"/>
      <c r="L230" s="87">
        <v>2148</v>
      </c>
      <c r="M230" s="92" t="str">
        <f t="shared" si="8"/>
        <v/>
      </c>
      <c r="N230" s="89">
        <v>1719</v>
      </c>
      <c r="O230" s="92">
        <f t="shared" si="9"/>
        <v>0.24956369982547999</v>
      </c>
      <c r="P230" s="75" t="s">
        <v>79</v>
      </c>
      <c r="Q230" s="63">
        <v>20619</v>
      </c>
      <c r="R230" s="63">
        <v>22694</v>
      </c>
      <c r="S230" s="63">
        <v>22180</v>
      </c>
      <c r="T230" s="97" t="s">
        <v>51</v>
      </c>
      <c r="U230" s="63">
        <v>238161</v>
      </c>
    </row>
    <row r="231" spans="1:21" ht="18" customHeight="1">
      <c r="A231" s="103"/>
      <c r="B231" s="104"/>
      <c r="C231" s="104"/>
      <c r="D231" s="104"/>
      <c r="E231" s="92"/>
      <c r="F231" s="104"/>
      <c r="G231" s="92"/>
      <c r="H231" s="90">
        <v>2013302</v>
      </c>
      <c r="I231" s="90" t="s">
        <v>1111</v>
      </c>
      <c r="J231" s="143">
        <v>161</v>
      </c>
      <c r="K231" s="143"/>
      <c r="L231" s="87">
        <v>156</v>
      </c>
      <c r="M231" s="92" t="str">
        <f t="shared" si="8"/>
        <v/>
      </c>
      <c r="N231" s="89">
        <v>148</v>
      </c>
      <c r="O231" s="92">
        <f t="shared" si="9"/>
        <v>5.4054054054053946E-2</v>
      </c>
      <c r="P231" s="75" t="s">
        <v>84</v>
      </c>
      <c r="Q231" s="63">
        <v>10344</v>
      </c>
      <c r="R231" s="63">
        <v>11539</v>
      </c>
      <c r="S231" s="63">
        <v>11506</v>
      </c>
      <c r="T231" s="97" t="s">
        <v>68</v>
      </c>
      <c r="U231" s="63">
        <v>12278</v>
      </c>
    </row>
    <row r="232" spans="1:21" ht="18" customHeight="1">
      <c r="A232" s="103"/>
      <c r="B232" s="104"/>
      <c r="C232" s="104"/>
      <c r="D232" s="104"/>
      <c r="E232" s="92"/>
      <c r="F232" s="104"/>
      <c r="G232" s="92"/>
      <c r="H232" s="90">
        <v>2013303</v>
      </c>
      <c r="I232" s="90" t="s">
        <v>1112</v>
      </c>
      <c r="J232" s="143">
        <v>0</v>
      </c>
      <c r="K232" s="143"/>
      <c r="L232" s="89"/>
      <c r="M232" s="92" t="str">
        <f t="shared" si="8"/>
        <v/>
      </c>
      <c r="N232" s="89">
        <v>0</v>
      </c>
      <c r="O232" s="92" t="str">
        <f t="shared" si="9"/>
        <v/>
      </c>
      <c r="T232" s="97" t="s">
        <v>71</v>
      </c>
      <c r="U232" s="63">
        <v>17454</v>
      </c>
    </row>
    <row r="233" spans="1:21" ht="18" customHeight="1">
      <c r="A233" s="103"/>
      <c r="B233" s="104"/>
      <c r="C233" s="104"/>
      <c r="D233" s="104"/>
      <c r="E233" s="92"/>
      <c r="F233" s="104"/>
      <c r="G233" s="92"/>
      <c r="H233" s="90">
        <v>2013350</v>
      </c>
      <c r="I233" s="90" t="s">
        <v>1119</v>
      </c>
      <c r="J233" s="143">
        <v>0</v>
      </c>
      <c r="K233" s="143"/>
      <c r="L233" s="89"/>
      <c r="M233" s="92" t="str">
        <f t="shared" si="8"/>
        <v/>
      </c>
      <c r="N233" s="89">
        <v>0</v>
      </c>
      <c r="O233" s="92" t="str">
        <f t="shared" si="9"/>
        <v/>
      </c>
      <c r="T233" s="97" t="s">
        <v>79</v>
      </c>
      <c r="U233" s="63">
        <v>21641</v>
      </c>
    </row>
    <row r="234" spans="1:21" ht="18" customHeight="1">
      <c r="A234" s="103"/>
      <c r="B234" s="104"/>
      <c r="C234" s="104"/>
      <c r="D234" s="104"/>
      <c r="E234" s="92"/>
      <c r="F234" s="104"/>
      <c r="G234" s="92"/>
      <c r="H234" s="90">
        <v>2013399</v>
      </c>
      <c r="I234" s="90" t="s">
        <v>1241</v>
      </c>
      <c r="J234" s="143">
        <v>1416</v>
      </c>
      <c r="K234" s="143"/>
      <c r="L234" s="87">
        <v>1287</v>
      </c>
      <c r="M234" s="92" t="str">
        <f t="shared" si="8"/>
        <v/>
      </c>
      <c r="N234" s="89">
        <v>1395</v>
      </c>
      <c r="O234" s="92">
        <f t="shared" si="9"/>
        <v>-7.7419354838709653E-2</v>
      </c>
      <c r="T234" s="97" t="s">
        <v>84</v>
      </c>
      <c r="U234" s="63">
        <v>9611</v>
      </c>
    </row>
    <row r="235" spans="1:21" ht="18" customHeight="1">
      <c r="A235" s="103"/>
      <c r="B235" s="104"/>
      <c r="C235" s="104"/>
      <c r="D235" s="104"/>
      <c r="E235" s="92"/>
      <c r="F235" s="104"/>
      <c r="G235" s="92"/>
      <c r="H235" s="90">
        <v>20134</v>
      </c>
      <c r="I235" s="80" t="s">
        <v>1242</v>
      </c>
      <c r="J235" s="143">
        <v>4951</v>
      </c>
      <c r="K235" s="647">
        <v>5088</v>
      </c>
      <c r="L235" s="87">
        <v>5088</v>
      </c>
      <c r="M235" s="92">
        <f t="shared" si="8"/>
        <v>1</v>
      </c>
      <c r="N235" s="89">
        <v>3267</v>
      </c>
      <c r="O235" s="92">
        <f t="shared" si="9"/>
        <v>0.5573921028466482</v>
      </c>
      <c r="T235" s="97" t="s">
        <v>92</v>
      </c>
      <c r="U235" s="63">
        <v>17842</v>
      </c>
    </row>
    <row r="236" spans="1:21" ht="18" customHeight="1">
      <c r="A236" s="103"/>
      <c r="B236" s="104"/>
      <c r="C236" s="104"/>
      <c r="D236" s="104"/>
      <c r="E236" s="92"/>
      <c r="F236" s="104"/>
      <c r="G236" s="92"/>
      <c r="H236" s="90">
        <v>2013401</v>
      </c>
      <c r="I236" s="90" t="s">
        <v>1110</v>
      </c>
      <c r="J236" s="143">
        <v>2052</v>
      </c>
      <c r="K236" s="143"/>
      <c r="L236" s="87">
        <v>2442</v>
      </c>
      <c r="M236" s="92" t="str">
        <f t="shared" si="8"/>
        <v/>
      </c>
      <c r="N236" s="89">
        <v>2224</v>
      </c>
      <c r="O236" s="92">
        <f t="shared" si="9"/>
        <v>9.8021582733812895E-2</v>
      </c>
      <c r="T236" s="97" t="s">
        <v>1057</v>
      </c>
      <c r="U236" s="63">
        <v>12507</v>
      </c>
    </row>
    <row r="237" spans="1:21" ht="18" customHeight="1">
      <c r="A237" s="103"/>
      <c r="B237" s="104"/>
      <c r="C237" s="104"/>
      <c r="D237" s="104"/>
      <c r="E237" s="92"/>
      <c r="F237" s="104"/>
      <c r="G237" s="92"/>
      <c r="H237" s="90">
        <v>2013402</v>
      </c>
      <c r="I237" s="90" t="s">
        <v>1111</v>
      </c>
      <c r="J237" s="143">
        <v>609</v>
      </c>
      <c r="K237" s="143"/>
      <c r="L237" s="87">
        <v>486</v>
      </c>
      <c r="M237" s="92" t="str">
        <f t="shared" si="8"/>
        <v/>
      </c>
      <c r="N237" s="89">
        <v>314</v>
      </c>
      <c r="O237" s="92">
        <f t="shared" si="9"/>
        <v>0.54777070063694278</v>
      </c>
      <c r="T237" s="97" t="s">
        <v>102</v>
      </c>
      <c r="U237" s="63">
        <v>0</v>
      </c>
    </row>
    <row r="238" spans="1:21" ht="18" customHeight="1">
      <c r="A238" s="103"/>
      <c r="B238" s="104"/>
      <c r="C238" s="104"/>
      <c r="D238" s="104"/>
      <c r="E238" s="92"/>
      <c r="F238" s="104"/>
      <c r="G238" s="92"/>
      <c r="H238" s="90">
        <v>2013403</v>
      </c>
      <c r="I238" s="90" t="s">
        <v>1112</v>
      </c>
      <c r="J238" s="143">
        <v>0</v>
      </c>
      <c r="K238" s="143"/>
      <c r="L238" s="89"/>
      <c r="M238" s="92" t="str">
        <f t="shared" si="8"/>
        <v/>
      </c>
      <c r="N238" s="89">
        <v>0</v>
      </c>
      <c r="O238" s="92" t="str">
        <f t="shared" si="9"/>
        <v/>
      </c>
      <c r="T238" s="97" t="s">
        <v>106</v>
      </c>
      <c r="U238" s="63">
        <v>0</v>
      </c>
    </row>
    <row r="239" spans="1:21" ht="18" customHeight="1">
      <c r="A239" s="103"/>
      <c r="B239" s="104"/>
      <c r="C239" s="104"/>
      <c r="D239" s="104"/>
      <c r="E239" s="92"/>
      <c r="F239" s="104"/>
      <c r="G239" s="92"/>
      <c r="H239" s="90">
        <v>2013450</v>
      </c>
      <c r="I239" s="90" t="s">
        <v>1119</v>
      </c>
      <c r="J239" s="143">
        <v>0</v>
      </c>
      <c r="K239" s="143"/>
      <c r="L239" s="89"/>
      <c r="M239" s="92" t="str">
        <f t="shared" si="8"/>
        <v/>
      </c>
      <c r="N239" s="89">
        <v>0</v>
      </c>
      <c r="O239" s="92" t="str">
        <f t="shared" si="9"/>
        <v/>
      </c>
      <c r="T239" s="97" t="s">
        <v>1021</v>
      </c>
      <c r="U239" s="63">
        <v>38500</v>
      </c>
    </row>
    <row r="240" spans="1:21" ht="18" customHeight="1">
      <c r="A240" s="103"/>
      <c r="B240" s="104"/>
      <c r="C240" s="104"/>
      <c r="D240" s="104"/>
      <c r="E240" s="92"/>
      <c r="F240" s="104"/>
      <c r="G240" s="92"/>
      <c r="H240" s="90">
        <v>2013499</v>
      </c>
      <c r="I240" s="90" t="s">
        <v>1243</v>
      </c>
      <c r="J240" s="143">
        <v>2290</v>
      </c>
      <c r="K240" s="143"/>
      <c r="L240" s="87">
        <v>2160</v>
      </c>
      <c r="M240" s="92" t="str">
        <f t="shared" si="8"/>
        <v/>
      </c>
      <c r="N240" s="89">
        <v>729</v>
      </c>
      <c r="O240" s="92">
        <f t="shared" si="9"/>
        <v>1.9629629629629628</v>
      </c>
      <c r="T240" s="97"/>
    </row>
    <row r="241" spans="1:20" ht="18" customHeight="1">
      <c r="A241" s="103"/>
      <c r="B241" s="104"/>
      <c r="C241" s="104"/>
      <c r="D241" s="104"/>
      <c r="E241" s="92"/>
      <c r="F241" s="104"/>
      <c r="G241" s="92"/>
      <c r="H241" s="90">
        <v>20135</v>
      </c>
      <c r="I241" s="80" t="s">
        <v>1244</v>
      </c>
      <c r="J241" s="143">
        <v>24421</v>
      </c>
      <c r="K241" s="143"/>
      <c r="L241" s="89"/>
      <c r="M241" s="92" t="str">
        <f t="shared" si="8"/>
        <v/>
      </c>
      <c r="N241" s="89">
        <v>0</v>
      </c>
      <c r="O241" s="92" t="str">
        <f t="shared" si="9"/>
        <v/>
      </c>
      <c r="T241" s="97"/>
    </row>
    <row r="242" spans="1:20" ht="18" customHeight="1">
      <c r="A242" s="103"/>
      <c r="B242" s="104"/>
      <c r="C242" s="104"/>
      <c r="D242" s="104"/>
      <c r="E242" s="92"/>
      <c r="F242" s="104"/>
      <c r="G242" s="92"/>
      <c r="H242" s="90">
        <v>2013501</v>
      </c>
      <c r="I242" s="90" t="s">
        <v>1110</v>
      </c>
      <c r="J242" s="143">
        <v>4819</v>
      </c>
      <c r="K242" s="143"/>
      <c r="L242" s="89"/>
      <c r="M242" s="92" t="str">
        <f t="shared" si="8"/>
        <v/>
      </c>
      <c r="N242" s="89">
        <v>0</v>
      </c>
      <c r="O242" s="92" t="str">
        <f t="shared" si="9"/>
        <v/>
      </c>
      <c r="T242" s="97"/>
    </row>
    <row r="243" spans="1:20" ht="18" customHeight="1">
      <c r="A243" s="103"/>
      <c r="B243" s="104"/>
      <c r="C243" s="104"/>
      <c r="D243" s="104"/>
      <c r="E243" s="92"/>
      <c r="F243" s="104"/>
      <c r="G243" s="92"/>
      <c r="H243" s="90">
        <v>2013502</v>
      </c>
      <c r="I243" s="90" t="s">
        <v>1111</v>
      </c>
      <c r="J243" s="143">
        <v>276</v>
      </c>
      <c r="K243" s="143"/>
      <c r="L243" s="89"/>
      <c r="M243" s="92" t="str">
        <f t="shared" si="8"/>
        <v/>
      </c>
      <c r="N243" s="89">
        <v>0</v>
      </c>
      <c r="O243" s="92" t="str">
        <f t="shared" si="9"/>
        <v/>
      </c>
      <c r="T243" s="97"/>
    </row>
    <row r="244" spans="1:20" ht="18" customHeight="1">
      <c r="A244" s="103"/>
      <c r="B244" s="104"/>
      <c r="C244" s="104"/>
      <c r="D244" s="104"/>
      <c r="E244" s="92"/>
      <c r="F244" s="104"/>
      <c r="G244" s="92"/>
      <c r="H244" s="90">
        <v>2013503</v>
      </c>
      <c r="I244" s="90" t="s">
        <v>1112</v>
      </c>
      <c r="J244" s="143">
        <v>0</v>
      </c>
      <c r="K244" s="143"/>
      <c r="L244" s="89"/>
      <c r="M244" s="92" t="str">
        <f t="shared" si="8"/>
        <v/>
      </c>
      <c r="N244" s="89">
        <v>0</v>
      </c>
      <c r="O244" s="92" t="str">
        <f t="shared" si="9"/>
        <v/>
      </c>
      <c r="T244" s="97"/>
    </row>
    <row r="245" spans="1:20" ht="18" customHeight="1">
      <c r="A245" s="103"/>
      <c r="B245" s="104"/>
      <c r="C245" s="104"/>
      <c r="D245" s="104"/>
      <c r="E245" s="92"/>
      <c r="F245" s="104"/>
      <c r="G245" s="92"/>
      <c r="H245" s="90">
        <v>2013550</v>
      </c>
      <c r="I245" s="90" t="s">
        <v>1119</v>
      </c>
      <c r="J245" s="143">
        <v>3077</v>
      </c>
      <c r="K245" s="143"/>
      <c r="L245" s="89"/>
      <c r="M245" s="92" t="str">
        <f t="shared" si="8"/>
        <v/>
      </c>
      <c r="N245" s="89">
        <v>0</v>
      </c>
      <c r="O245" s="92" t="str">
        <f t="shared" si="9"/>
        <v/>
      </c>
      <c r="T245" s="97"/>
    </row>
    <row r="246" spans="1:20" ht="18" customHeight="1">
      <c r="A246" s="103"/>
      <c r="B246" s="104"/>
      <c r="C246" s="104"/>
      <c r="D246" s="104"/>
      <c r="E246" s="92"/>
      <c r="F246" s="104"/>
      <c r="G246" s="92"/>
      <c r="H246" s="90">
        <v>2013599</v>
      </c>
      <c r="I246" s="90" t="s">
        <v>1245</v>
      </c>
      <c r="J246" s="143">
        <v>16249</v>
      </c>
      <c r="K246" s="143"/>
      <c r="L246" s="89"/>
      <c r="M246" s="92" t="str">
        <f t="shared" si="8"/>
        <v/>
      </c>
      <c r="N246" s="89">
        <v>0</v>
      </c>
      <c r="O246" s="92" t="str">
        <f t="shared" si="9"/>
        <v/>
      </c>
      <c r="T246" s="97"/>
    </row>
    <row r="247" spans="1:20" ht="18" customHeight="1">
      <c r="A247" s="103"/>
      <c r="B247" s="104"/>
      <c r="C247" s="104"/>
      <c r="D247" s="104"/>
      <c r="E247" s="92"/>
      <c r="F247" s="104"/>
      <c r="G247" s="92"/>
      <c r="H247" s="90">
        <v>20136</v>
      </c>
      <c r="I247" s="80" t="s">
        <v>1246</v>
      </c>
      <c r="J247" s="143"/>
      <c r="K247" s="647">
        <v>20030</v>
      </c>
      <c r="L247" s="87">
        <v>20030</v>
      </c>
      <c r="M247" s="92">
        <f t="shared" si="8"/>
        <v>1</v>
      </c>
      <c r="N247" s="89">
        <v>16209</v>
      </c>
      <c r="O247" s="92">
        <f t="shared" si="9"/>
        <v>0.23573323462274054</v>
      </c>
      <c r="T247" s="97"/>
    </row>
    <row r="248" spans="1:20" ht="18" customHeight="1">
      <c r="A248" s="103"/>
      <c r="B248" s="104"/>
      <c r="C248" s="104"/>
      <c r="D248" s="104"/>
      <c r="E248" s="92"/>
      <c r="F248" s="104"/>
      <c r="G248" s="92"/>
      <c r="H248" s="90">
        <v>2013601</v>
      </c>
      <c r="I248" s="90" t="s">
        <v>1110</v>
      </c>
      <c r="J248" s="143"/>
      <c r="K248" s="143"/>
      <c r="L248" s="87">
        <v>5339</v>
      </c>
      <c r="M248" s="92" t="str">
        <f t="shared" si="8"/>
        <v/>
      </c>
      <c r="N248" s="89">
        <v>4358</v>
      </c>
      <c r="O248" s="92">
        <f t="shared" si="9"/>
        <v>0.22510325837540157</v>
      </c>
      <c r="T248" s="97"/>
    </row>
    <row r="249" spans="1:20" ht="18" customHeight="1">
      <c r="A249" s="103"/>
      <c r="B249" s="104"/>
      <c r="C249" s="104"/>
      <c r="D249" s="104"/>
      <c r="E249" s="92"/>
      <c r="F249" s="104"/>
      <c r="G249" s="92"/>
      <c r="H249" s="90">
        <v>2013602</v>
      </c>
      <c r="I249" s="90" t="s">
        <v>1111</v>
      </c>
      <c r="J249" s="143"/>
      <c r="K249" s="143"/>
      <c r="L249" s="87">
        <v>343</v>
      </c>
      <c r="M249" s="92" t="str">
        <f t="shared" si="8"/>
        <v/>
      </c>
      <c r="N249" s="89">
        <v>348</v>
      </c>
      <c r="O249" s="92">
        <f t="shared" si="9"/>
        <v>-1.4367816091954033E-2</v>
      </c>
      <c r="T249" s="97"/>
    </row>
    <row r="250" spans="1:20" ht="18" customHeight="1">
      <c r="A250" s="103"/>
      <c r="B250" s="104"/>
      <c r="C250" s="104"/>
      <c r="D250" s="104"/>
      <c r="E250" s="92"/>
      <c r="F250" s="104"/>
      <c r="G250" s="92"/>
      <c r="H250" s="90">
        <v>2013603</v>
      </c>
      <c r="I250" s="90" t="s">
        <v>1112</v>
      </c>
      <c r="J250" s="94"/>
      <c r="K250" s="94"/>
      <c r="L250" s="89"/>
      <c r="M250" s="92" t="str">
        <f t="shared" si="8"/>
        <v/>
      </c>
      <c r="N250" s="89">
        <v>0</v>
      </c>
      <c r="O250" s="92" t="str">
        <f t="shared" si="9"/>
        <v/>
      </c>
      <c r="T250" s="97"/>
    </row>
    <row r="251" spans="1:20" ht="18" customHeight="1">
      <c r="A251" s="103"/>
      <c r="B251" s="104"/>
      <c r="C251" s="104"/>
      <c r="D251" s="104"/>
      <c r="E251" s="92"/>
      <c r="F251" s="104"/>
      <c r="G251" s="92"/>
      <c r="H251" s="90">
        <v>2013650</v>
      </c>
      <c r="I251" s="90" t="s">
        <v>1119</v>
      </c>
      <c r="J251" s="94"/>
      <c r="K251" s="94"/>
      <c r="L251" s="87">
        <v>3753</v>
      </c>
      <c r="M251" s="92" t="str">
        <f t="shared" si="8"/>
        <v/>
      </c>
      <c r="N251" s="89">
        <v>2199</v>
      </c>
      <c r="O251" s="92">
        <f t="shared" si="9"/>
        <v>0.70668485675306947</v>
      </c>
      <c r="T251" s="97"/>
    </row>
    <row r="252" spans="1:20" ht="18" customHeight="1">
      <c r="A252" s="103"/>
      <c r="B252" s="104"/>
      <c r="C252" s="104"/>
      <c r="D252" s="104"/>
      <c r="E252" s="92"/>
      <c r="F252" s="104"/>
      <c r="G252" s="92"/>
      <c r="H252" s="90">
        <v>2013699</v>
      </c>
      <c r="I252" s="90" t="s">
        <v>1247</v>
      </c>
      <c r="J252" s="94"/>
      <c r="K252" s="94"/>
      <c r="L252" s="87">
        <v>10595</v>
      </c>
      <c r="M252" s="92" t="str">
        <f t="shared" si="8"/>
        <v/>
      </c>
      <c r="N252" s="89">
        <v>9304</v>
      </c>
      <c r="O252" s="92">
        <f t="shared" si="9"/>
        <v>0.13875752364574367</v>
      </c>
      <c r="T252" s="97"/>
    </row>
    <row r="253" spans="1:20" ht="18" customHeight="1">
      <c r="A253" s="103"/>
      <c r="B253" s="104"/>
      <c r="C253" s="104"/>
      <c r="D253" s="104"/>
      <c r="E253" s="92"/>
      <c r="F253" s="104"/>
      <c r="G253" s="92"/>
      <c r="H253" s="90">
        <v>20199</v>
      </c>
      <c r="I253" s="80" t="s">
        <v>1248</v>
      </c>
      <c r="J253" s="143">
        <v>235753</v>
      </c>
      <c r="K253" s="647">
        <v>88066</v>
      </c>
      <c r="L253" s="87">
        <v>88046</v>
      </c>
      <c r="M253" s="92">
        <f t="shared" si="8"/>
        <v>0.99977289759952759</v>
      </c>
      <c r="N253" s="89">
        <v>68695</v>
      </c>
      <c r="O253" s="92">
        <f t="shared" si="9"/>
        <v>0.28169444646626385</v>
      </c>
      <c r="T253" s="97"/>
    </row>
    <row r="254" spans="1:20" ht="18" customHeight="1">
      <c r="A254" s="103"/>
      <c r="B254" s="104"/>
      <c r="C254" s="104"/>
      <c r="D254" s="104"/>
      <c r="E254" s="92"/>
      <c r="F254" s="104"/>
      <c r="G254" s="92"/>
      <c r="H254" s="90">
        <v>2019901</v>
      </c>
      <c r="I254" s="90" t="s">
        <v>1249</v>
      </c>
      <c r="J254" s="94"/>
      <c r="K254" s="94"/>
      <c r="L254" s="87">
        <v>354</v>
      </c>
      <c r="M254" s="92" t="str">
        <f t="shared" si="8"/>
        <v/>
      </c>
      <c r="N254" s="89">
        <v>0</v>
      </c>
      <c r="O254" s="92" t="str">
        <f t="shared" si="9"/>
        <v/>
      </c>
      <c r="T254" s="97"/>
    </row>
    <row r="255" spans="1:20" ht="18" customHeight="1">
      <c r="A255" s="103"/>
      <c r="B255" s="104"/>
      <c r="C255" s="104"/>
      <c r="D255" s="104"/>
      <c r="E255" s="92"/>
      <c r="F255" s="104"/>
      <c r="G255" s="92"/>
      <c r="H255" s="90">
        <v>2019999</v>
      </c>
      <c r="I255" s="90" t="s">
        <v>1250</v>
      </c>
      <c r="J255" s="143">
        <v>235753</v>
      </c>
      <c r="K255" s="143"/>
      <c r="L255" s="87">
        <v>87692</v>
      </c>
      <c r="M255" s="92" t="str">
        <f t="shared" si="8"/>
        <v/>
      </c>
      <c r="N255" s="89">
        <v>68695</v>
      </c>
      <c r="O255" s="92">
        <f t="shared" si="9"/>
        <v>0.27654123298638922</v>
      </c>
      <c r="T255" s="97"/>
    </row>
    <row r="256" spans="1:20" ht="18" hidden="1" customHeight="1">
      <c r="A256" s="103"/>
      <c r="B256" s="104"/>
      <c r="C256" s="104"/>
      <c r="D256" s="104"/>
      <c r="E256" s="92"/>
      <c r="F256" s="104"/>
      <c r="G256" s="92"/>
      <c r="H256" s="90">
        <v>202</v>
      </c>
      <c r="I256" s="80" t="s">
        <v>1251</v>
      </c>
      <c r="J256" s="94"/>
      <c r="K256" s="94"/>
      <c r="L256" s="89"/>
      <c r="M256" s="92" t="str">
        <f t="shared" si="8"/>
        <v/>
      </c>
      <c r="N256" s="89">
        <v>0</v>
      </c>
      <c r="O256" s="92" t="str">
        <f t="shared" si="9"/>
        <v/>
      </c>
      <c r="T256" s="97"/>
    </row>
    <row r="257" spans="1:20" ht="18" hidden="1" customHeight="1">
      <c r="A257" s="103"/>
      <c r="B257" s="104"/>
      <c r="C257" s="104"/>
      <c r="D257" s="104"/>
      <c r="E257" s="92"/>
      <c r="F257" s="104"/>
      <c r="G257" s="92"/>
      <c r="H257" s="90">
        <v>20201</v>
      </c>
      <c r="I257" s="80" t="s">
        <v>1252</v>
      </c>
      <c r="J257" s="94"/>
      <c r="K257" s="94"/>
      <c r="L257" s="89"/>
      <c r="M257" s="92" t="str">
        <f t="shared" si="8"/>
        <v/>
      </c>
      <c r="N257" s="89">
        <v>0</v>
      </c>
      <c r="O257" s="92" t="str">
        <f t="shared" si="9"/>
        <v/>
      </c>
      <c r="T257" s="97"/>
    </row>
    <row r="258" spans="1:20" ht="18" hidden="1" customHeight="1">
      <c r="A258" s="103"/>
      <c r="B258" s="104"/>
      <c r="C258" s="104"/>
      <c r="D258" s="104"/>
      <c r="E258" s="92"/>
      <c r="F258" s="104"/>
      <c r="G258" s="92"/>
      <c r="H258" s="90">
        <v>2020101</v>
      </c>
      <c r="I258" s="90" t="s">
        <v>1110</v>
      </c>
      <c r="J258" s="94"/>
      <c r="K258" s="94"/>
      <c r="L258" s="89"/>
      <c r="M258" s="92" t="str">
        <f t="shared" si="8"/>
        <v/>
      </c>
      <c r="N258" s="89">
        <v>0</v>
      </c>
      <c r="O258" s="92" t="str">
        <f t="shared" si="9"/>
        <v/>
      </c>
      <c r="T258" s="97"/>
    </row>
    <row r="259" spans="1:20" ht="18" hidden="1" customHeight="1">
      <c r="A259" s="103"/>
      <c r="B259" s="104"/>
      <c r="C259" s="104"/>
      <c r="D259" s="104"/>
      <c r="E259" s="92"/>
      <c r="F259" s="104"/>
      <c r="G259" s="92"/>
      <c r="H259" s="90">
        <v>2020102</v>
      </c>
      <c r="I259" s="90" t="s">
        <v>1111</v>
      </c>
      <c r="J259" s="94"/>
      <c r="K259" s="94"/>
      <c r="L259" s="89"/>
      <c r="M259" s="92" t="str">
        <f t="shared" si="8"/>
        <v/>
      </c>
      <c r="N259" s="89">
        <v>0</v>
      </c>
      <c r="O259" s="92" t="str">
        <f t="shared" si="9"/>
        <v/>
      </c>
      <c r="T259" s="97"/>
    </row>
    <row r="260" spans="1:20" ht="18" hidden="1" customHeight="1">
      <c r="A260" s="103"/>
      <c r="B260" s="104"/>
      <c r="C260" s="104"/>
      <c r="D260" s="104"/>
      <c r="E260" s="92"/>
      <c r="F260" s="104"/>
      <c r="G260" s="92"/>
      <c r="H260" s="90">
        <v>2020103</v>
      </c>
      <c r="I260" s="90" t="s">
        <v>1112</v>
      </c>
      <c r="J260" s="94"/>
      <c r="K260" s="94"/>
      <c r="L260" s="89"/>
      <c r="M260" s="92" t="str">
        <f t="shared" si="8"/>
        <v/>
      </c>
      <c r="N260" s="89">
        <v>0</v>
      </c>
      <c r="O260" s="92" t="str">
        <f t="shared" si="9"/>
        <v/>
      </c>
      <c r="T260" s="97"/>
    </row>
    <row r="261" spans="1:20" ht="18" hidden="1" customHeight="1">
      <c r="A261" s="103"/>
      <c r="B261" s="104"/>
      <c r="C261" s="104"/>
      <c r="D261" s="104"/>
      <c r="E261" s="92"/>
      <c r="F261" s="104"/>
      <c r="G261" s="92"/>
      <c r="H261" s="90">
        <v>2020104</v>
      </c>
      <c r="I261" s="90" t="s">
        <v>1236</v>
      </c>
      <c r="J261" s="94"/>
      <c r="K261" s="94"/>
      <c r="L261" s="89"/>
      <c r="M261" s="92" t="str">
        <f t="shared" si="8"/>
        <v/>
      </c>
      <c r="N261" s="89">
        <v>0</v>
      </c>
      <c r="O261" s="92" t="str">
        <f t="shared" si="9"/>
        <v/>
      </c>
      <c r="T261" s="97"/>
    </row>
    <row r="262" spans="1:20" ht="18" hidden="1" customHeight="1">
      <c r="A262" s="103"/>
      <c r="B262" s="104"/>
      <c r="C262" s="104"/>
      <c r="D262" s="104"/>
      <c r="E262" s="92"/>
      <c r="F262" s="104"/>
      <c r="G262" s="92"/>
      <c r="H262" s="90">
        <v>2020150</v>
      </c>
      <c r="I262" s="90" t="s">
        <v>1119</v>
      </c>
      <c r="J262" s="94"/>
      <c r="K262" s="94"/>
      <c r="L262" s="89"/>
      <c r="M262" s="92" t="str">
        <f t="shared" ref="M262:M325" si="10">+IF(ISERROR(L262/K262),"",L262/K262)</f>
        <v/>
      </c>
      <c r="N262" s="89">
        <v>0</v>
      </c>
      <c r="O262" s="92" t="str">
        <f t="shared" si="9"/>
        <v/>
      </c>
      <c r="T262" s="97"/>
    </row>
    <row r="263" spans="1:20" ht="18" hidden="1" customHeight="1">
      <c r="A263" s="103"/>
      <c r="B263" s="104"/>
      <c r="C263" s="104"/>
      <c r="D263" s="104"/>
      <c r="E263" s="92"/>
      <c r="F263" s="104"/>
      <c r="G263" s="92"/>
      <c r="H263" s="90">
        <v>2020199</v>
      </c>
      <c r="I263" s="90" t="s">
        <v>1253</v>
      </c>
      <c r="J263" s="94"/>
      <c r="K263" s="94"/>
      <c r="L263" s="89"/>
      <c r="M263" s="92" t="str">
        <f t="shared" si="10"/>
        <v/>
      </c>
      <c r="N263" s="89">
        <v>0</v>
      </c>
      <c r="O263" s="92" t="str">
        <f t="shared" ref="O263:O326" si="11">IF(ISERROR(L263/N263-1),"",(L263/N263-1))</f>
        <v/>
      </c>
      <c r="T263" s="97"/>
    </row>
    <row r="264" spans="1:20" ht="18" hidden="1" customHeight="1">
      <c r="A264" s="103"/>
      <c r="B264" s="104"/>
      <c r="C264" s="104"/>
      <c r="D264" s="104"/>
      <c r="E264" s="92"/>
      <c r="F264" s="104"/>
      <c r="G264" s="92"/>
      <c r="H264" s="90">
        <v>20202</v>
      </c>
      <c r="I264" s="80" t="s">
        <v>1254</v>
      </c>
      <c r="J264" s="94"/>
      <c r="K264" s="94"/>
      <c r="L264" s="89"/>
      <c r="M264" s="92" t="str">
        <f t="shared" si="10"/>
        <v/>
      </c>
      <c r="N264" s="89">
        <v>0</v>
      </c>
      <c r="O264" s="92" t="str">
        <f t="shared" si="11"/>
        <v/>
      </c>
      <c r="T264" s="97"/>
    </row>
    <row r="265" spans="1:20" ht="18" hidden="1" customHeight="1">
      <c r="A265" s="103"/>
      <c r="B265" s="104"/>
      <c r="C265" s="104"/>
      <c r="D265" s="104"/>
      <c r="E265" s="92"/>
      <c r="F265" s="104"/>
      <c r="G265" s="92"/>
      <c r="H265" s="90">
        <v>2020201</v>
      </c>
      <c r="I265" s="90" t="s">
        <v>1255</v>
      </c>
      <c r="J265" s="94"/>
      <c r="K265" s="94"/>
      <c r="L265" s="89"/>
      <c r="M265" s="92" t="str">
        <f t="shared" si="10"/>
        <v/>
      </c>
      <c r="N265" s="89">
        <v>0</v>
      </c>
      <c r="O265" s="92" t="str">
        <f t="shared" si="11"/>
        <v/>
      </c>
      <c r="T265" s="97"/>
    </row>
    <row r="266" spans="1:20" ht="18" hidden="1" customHeight="1">
      <c r="A266" s="103"/>
      <c r="B266" s="104"/>
      <c r="C266" s="104"/>
      <c r="D266" s="104"/>
      <c r="E266" s="92"/>
      <c r="F266" s="104"/>
      <c r="G266" s="92"/>
      <c r="H266" s="90">
        <v>2020202</v>
      </c>
      <c r="I266" s="90" t="s">
        <v>1256</v>
      </c>
      <c r="J266" s="94"/>
      <c r="K266" s="94"/>
      <c r="L266" s="89"/>
      <c r="M266" s="92" t="str">
        <f t="shared" si="10"/>
        <v/>
      </c>
      <c r="N266" s="89">
        <v>0</v>
      </c>
      <c r="O266" s="92" t="str">
        <f t="shared" si="11"/>
        <v/>
      </c>
      <c r="T266" s="97"/>
    </row>
    <row r="267" spans="1:20" ht="18" hidden="1" customHeight="1">
      <c r="A267" s="103"/>
      <c r="B267" s="104"/>
      <c r="C267" s="104"/>
      <c r="D267" s="104"/>
      <c r="E267" s="92"/>
      <c r="F267" s="104"/>
      <c r="G267" s="92"/>
      <c r="H267" s="90">
        <v>20203</v>
      </c>
      <c r="I267" s="80" t="s">
        <v>1257</v>
      </c>
      <c r="J267" s="94"/>
      <c r="K267" s="94"/>
      <c r="L267" s="89"/>
      <c r="M267" s="92" t="str">
        <f t="shared" si="10"/>
        <v/>
      </c>
      <c r="N267" s="89">
        <v>0</v>
      </c>
      <c r="O267" s="92" t="str">
        <f t="shared" si="11"/>
        <v/>
      </c>
      <c r="T267" s="97"/>
    </row>
    <row r="268" spans="1:20" ht="18" hidden="1" customHeight="1">
      <c r="A268" s="103"/>
      <c r="B268" s="104"/>
      <c r="C268" s="104"/>
      <c r="D268" s="104"/>
      <c r="E268" s="92"/>
      <c r="F268" s="104"/>
      <c r="G268" s="92"/>
      <c r="H268" s="90">
        <v>2020301</v>
      </c>
      <c r="I268" s="90" t="s">
        <v>1258</v>
      </c>
      <c r="J268" s="94"/>
      <c r="K268" s="94"/>
      <c r="L268" s="89"/>
      <c r="M268" s="92" t="str">
        <f t="shared" si="10"/>
        <v/>
      </c>
      <c r="N268" s="89">
        <v>0</v>
      </c>
      <c r="O268" s="92" t="str">
        <f t="shared" si="11"/>
        <v/>
      </c>
      <c r="T268" s="97"/>
    </row>
    <row r="269" spans="1:20" ht="18" hidden="1" customHeight="1">
      <c r="A269" s="103"/>
      <c r="B269" s="104"/>
      <c r="C269" s="104"/>
      <c r="D269" s="104"/>
      <c r="E269" s="92"/>
      <c r="F269" s="104"/>
      <c r="G269" s="92"/>
      <c r="H269" s="90">
        <v>2020302</v>
      </c>
      <c r="I269" s="90" t="s">
        <v>1259</v>
      </c>
      <c r="J269" s="94"/>
      <c r="K269" s="94"/>
      <c r="L269" s="89"/>
      <c r="M269" s="92" t="str">
        <f t="shared" si="10"/>
        <v/>
      </c>
      <c r="N269" s="89">
        <v>0</v>
      </c>
      <c r="O269" s="92" t="str">
        <f t="shared" si="11"/>
        <v/>
      </c>
      <c r="T269" s="97"/>
    </row>
    <row r="270" spans="1:20" ht="18" hidden="1" customHeight="1">
      <c r="A270" s="103"/>
      <c r="B270" s="104"/>
      <c r="C270" s="104"/>
      <c r="D270" s="104"/>
      <c r="E270" s="92"/>
      <c r="F270" s="104"/>
      <c r="G270" s="92"/>
      <c r="H270" s="90">
        <v>2020303</v>
      </c>
      <c r="I270" s="90" t="s">
        <v>1260</v>
      </c>
      <c r="J270" s="94"/>
      <c r="K270" s="94"/>
      <c r="L270" s="89"/>
      <c r="M270" s="92" t="str">
        <f t="shared" si="10"/>
        <v/>
      </c>
      <c r="N270" s="89">
        <v>0</v>
      </c>
      <c r="O270" s="92" t="str">
        <f t="shared" si="11"/>
        <v/>
      </c>
      <c r="T270" s="97"/>
    </row>
    <row r="271" spans="1:20" ht="18" hidden="1" customHeight="1">
      <c r="A271" s="103"/>
      <c r="B271" s="104"/>
      <c r="C271" s="104"/>
      <c r="D271" s="104"/>
      <c r="E271" s="92"/>
      <c r="F271" s="104"/>
      <c r="G271" s="92"/>
      <c r="H271" s="90">
        <v>2020304</v>
      </c>
      <c r="I271" s="90" t="s">
        <v>1261</v>
      </c>
      <c r="J271" s="94"/>
      <c r="K271" s="94"/>
      <c r="L271" s="89"/>
      <c r="M271" s="92" t="str">
        <f t="shared" si="10"/>
        <v/>
      </c>
      <c r="N271" s="89">
        <v>0</v>
      </c>
      <c r="O271" s="92" t="str">
        <f t="shared" si="11"/>
        <v/>
      </c>
      <c r="T271" s="97"/>
    </row>
    <row r="272" spans="1:20" ht="18" hidden="1" customHeight="1">
      <c r="A272" s="103"/>
      <c r="B272" s="104"/>
      <c r="C272" s="104"/>
      <c r="D272" s="104"/>
      <c r="E272" s="92"/>
      <c r="F272" s="104"/>
      <c r="G272" s="92"/>
      <c r="H272" s="90">
        <v>2020305</v>
      </c>
      <c r="I272" s="90" t="s">
        <v>1262</v>
      </c>
      <c r="J272" s="94"/>
      <c r="K272" s="94"/>
      <c r="L272" s="89"/>
      <c r="M272" s="92" t="str">
        <f t="shared" si="10"/>
        <v/>
      </c>
      <c r="N272" s="89">
        <v>0</v>
      </c>
      <c r="O272" s="92" t="str">
        <f t="shared" si="11"/>
        <v/>
      </c>
      <c r="T272" s="97"/>
    </row>
    <row r="273" spans="1:20" ht="18" hidden="1" customHeight="1">
      <c r="A273" s="103"/>
      <c r="B273" s="104"/>
      <c r="C273" s="104"/>
      <c r="D273" s="104"/>
      <c r="E273" s="92"/>
      <c r="F273" s="104"/>
      <c r="G273" s="92"/>
      <c r="H273" s="90">
        <v>2020399</v>
      </c>
      <c r="I273" s="90" t="s">
        <v>0</v>
      </c>
      <c r="J273" s="94"/>
      <c r="K273" s="94"/>
      <c r="L273" s="89"/>
      <c r="M273" s="92" t="str">
        <f t="shared" si="10"/>
        <v/>
      </c>
      <c r="N273" s="89">
        <v>0</v>
      </c>
      <c r="O273" s="92" t="str">
        <f t="shared" si="11"/>
        <v/>
      </c>
      <c r="T273" s="97"/>
    </row>
    <row r="274" spans="1:20" ht="18" hidden="1" customHeight="1">
      <c r="A274" s="103"/>
      <c r="B274" s="104"/>
      <c r="C274" s="104"/>
      <c r="D274" s="104"/>
      <c r="E274" s="92"/>
      <c r="F274" s="104"/>
      <c r="G274" s="92"/>
      <c r="H274" s="90">
        <v>20204</v>
      </c>
      <c r="I274" s="80" t="s">
        <v>1</v>
      </c>
      <c r="J274" s="94"/>
      <c r="K274" s="94"/>
      <c r="L274" s="89"/>
      <c r="M274" s="92" t="str">
        <f t="shared" si="10"/>
        <v/>
      </c>
      <c r="N274" s="89">
        <v>0</v>
      </c>
      <c r="O274" s="92" t="str">
        <f t="shared" si="11"/>
        <v/>
      </c>
      <c r="T274" s="97"/>
    </row>
    <row r="275" spans="1:20" ht="18" hidden="1" customHeight="1">
      <c r="A275" s="103"/>
      <c r="B275" s="104"/>
      <c r="C275" s="104"/>
      <c r="D275" s="104"/>
      <c r="E275" s="92"/>
      <c r="F275" s="104"/>
      <c r="G275" s="92"/>
      <c r="H275" s="90">
        <v>2020401</v>
      </c>
      <c r="I275" s="90" t="s">
        <v>2</v>
      </c>
      <c r="J275" s="94"/>
      <c r="K275" s="94"/>
      <c r="L275" s="89"/>
      <c r="M275" s="92" t="str">
        <f t="shared" si="10"/>
        <v/>
      </c>
      <c r="N275" s="89">
        <v>0</v>
      </c>
      <c r="O275" s="92" t="str">
        <f t="shared" si="11"/>
        <v/>
      </c>
      <c r="T275" s="97"/>
    </row>
    <row r="276" spans="1:20" ht="18" hidden="1" customHeight="1">
      <c r="A276" s="103"/>
      <c r="B276" s="104"/>
      <c r="C276" s="104"/>
      <c r="D276" s="104"/>
      <c r="E276" s="92"/>
      <c r="F276" s="104"/>
      <c r="G276" s="92"/>
      <c r="H276" s="90">
        <v>2020402</v>
      </c>
      <c r="I276" s="90" t="s">
        <v>3</v>
      </c>
      <c r="J276" s="94"/>
      <c r="K276" s="94"/>
      <c r="L276" s="89"/>
      <c r="M276" s="92" t="str">
        <f t="shared" si="10"/>
        <v/>
      </c>
      <c r="N276" s="89">
        <v>0</v>
      </c>
      <c r="O276" s="92" t="str">
        <f t="shared" si="11"/>
        <v/>
      </c>
      <c r="T276" s="97"/>
    </row>
    <row r="277" spans="1:20" ht="18" hidden="1" customHeight="1">
      <c r="A277" s="103"/>
      <c r="B277" s="104"/>
      <c r="C277" s="104"/>
      <c r="D277" s="104"/>
      <c r="E277" s="92"/>
      <c r="F277" s="104"/>
      <c r="G277" s="92"/>
      <c r="H277" s="90">
        <v>2020403</v>
      </c>
      <c r="I277" s="90" t="s">
        <v>4</v>
      </c>
      <c r="J277" s="94"/>
      <c r="K277" s="94"/>
      <c r="L277" s="94"/>
      <c r="M277" s="92" t="str">
        <f t="shared" si="10"/>
        <v/>
      </c>
      <c r="N277" s="94">
        <v>0</v>
      </c>
      <c r="O277" s="92" t="str">
        <f t="shared" si="11"/>
        <v/>
      </c>
      <c r="T277" s="97"/>
    </row>
    <row r="278" spans="1:20" ht="18" hidden="1" customHeight="1">
      <c r="A278" s="103"/>
      <c r="B278" s="104"/>
      <c r="C278" s="104"/>
      <c r="D278" s="104"/>
      <c r="E278" s="92"/>
      <c r="F278" s="104"/>
      <c r="G278" s="92"/>
      <c r="H278" s="90">
        <v>2020404</v>
      </c>
      <c r="I278" s="90" t="s">
        <v>5</v>
      </c>
      <c r="J278" s="93"/>
      <c r="K278" s="93"/>
      <c r="L278" s="93"/>
      <c r="M278" s="92" t="str">
        <f t="shared" si="10"/>
        <v/>
      </c>
      <c r="N278" s="93">
        <v>0</v>
      </c>
      <c r="O278" s="92" t="str">
        <f t="shared" si="11"/>
        <v/>
      </c>
      <c r="T278" s="97"/>
    </row>
    <row r="279" spans="1:20" ht="18" hidden="1" customHeight="1">
      <c r="A279" s="103"/>
      <c r="B279" s="104"/>
      <c r="C279" s="104"/>
      <c r="D279" s="104"/>
      <c r="E279" s="92"/>
      <c r="F279" s="104"/>
      <c r="G279" s="92"/>
      <c r="H279" s="90">
        <v>2020499</v>
      </c>
      <c r="I279" s="90" t="s">
        <v>6</v>
      </c>
      <c r="J279" s="93"/>
      <c r="K279" s="93"/>
      <c r="L279" s="93"/>
      <c r="M279" s="92" t="str">
        <f t="shared" si="10"/>
        <v/>
      </c>
      <c r="N279" s="93">
        <v>0</v>
      </c>
      <c r="O279" s="92" t="str">
        <f t="shared" si="11"/>
        <v/>
      </c>
      <c r="T279" s="97"/>
    </row>
    <row r="280" spans="1:20" ht="18" hidden="1" customHeight="1">
      <c r="A280" s="103"/>
      <c r="B280" s="104"/>
      <c r="C280" s="104"/>
      <c r="D280" s="104"/>
      <c r="E280" s="92"/>
      <c r="F280" s="104"/>
      <c r="G280" s="92"/>
      <c r="H280" s="90">
        <v>20205</v>
      </c>
      <c r="I280" s="80" t="s">
        <v>7</v>
      </c>
      <c r="J280" s="93"/>
      <c r="K280" s="93"/>
      <c r="L280" s="93"/>
      <c r="M280" s="92" t="str">
        <f t="shared" si="10"/>
        <v/>
      </c>
      <c r="N280" s="93">
        <v>0</v>
      </c>
      <c r="O280" s="92" t="str">
        <f t="shared" si="11"/>
        <v/>
      </c>
      <c r="T280" s="97"/>
    </row>
    <row r="281" spans="1:20" ht="18" hidden="1" customHeight="1">
      <c r="A281" s="103"/>
      <c r="B281" s="104"/>
      <c r="C281" s="104"/>
      <c r="D281" s="104"/>
      <c r="E281" s="92"/>
      <c r="F281" s="104"/>
      <c r="G281" s="92"/>
      <c r="H281" s="90">
        <v>2020501</v>
      </c>
      <c r="I281" s="90" t="s">
        <v>8</v>
      </c>
      <c r="J281" s="93"/>
      <c r="K281" s="93"/>
      <c r="L281" s="93"/>
      <c r="M281" s="92" t="str">
        <f t="shared" si="10"/>
        <v/>
      </c>
      <c r="N281" s="93">
        <v>0</v>
      </c>
      <c r="O281" s="92" t="str">
        <f t="shared" si="11"/>
        <v/>
      </c>
      <c r="T281" s="97"/>
    </row>
    <row r="282" spans="1:20" ht="18" hidden="1" customHeight="1">
      <c r="A282" s="103"/>
      <c r="B282" s="104"/>
      <c r="C282" s="104"/>
      <c r="D282" s="104"/>
      <c r="E282" s="92"/>
      <c r="F282" s="104"/>
      <c r="G282" s="92"/>
      <c r="H282" s="90">
        <v>2020502</v>
      </c>
      <c r="I282" s="90" t="s">
        <v>9</v>
      </c>
      <c r="J282" s="93"/>
      <c r="K282" s="93"/>
      <c r="L282" s="93"/>
      <c r="M282" s="92" t="str">
        <f t="shared" si="10"/>
        <v/>
      </c>
      <c r="N282" s="93">
        <v>0</v>
      </c>
      <c r="O282" s="92" t="str">
        <f t="shared" si="11"/>
        <v/>
      </c>
      <c r="T282" s="97"/>
    </row>
    <row r="283" spans="1:20" ht="18" hidden="1" customHeight="1">
      <c r="A283" s="103"/>
      <c r="B283" s="104"/>
      <c r="C283" s="104"/>
      <c r="D283" s="104"/>
      <c r="E283" s="92"/>
      <c r="F283" s="104"/>
      <c r="G283" s="92"/>
      <c r="H283" s="90">
        <v>2020503</v>
      </c>
      <c r="I283" s="90" t="s">
        <v>10</v>
      </c>
      <c r="J283" s="93"/>
      <c r="K283" s="93"/>
      <c r="L283" s="93"/>
      <c r="M283" s="92" t="str">
        <f t="shared" si="10"/>
        <v/>
      </c>
      <c r="N283" s="93">
        <v>0</v>
      </c>
      <c r="O283" s="92" t="str">
        <f t="shared" si="11"/>
        <v/>
      </c>
      <c r="T283" s="97"/>
    </row>
    <row r="284" spans="1:20" ht="18" hidden="1" customHeight="1">
      <c r="A284" s="103"/>
      <c r="B284" s="104"/>
      <c r="C284" s="104"/>
      <c r="D284" s="104"/>
      <c r="E284" s="92"/>
      <c r="F284" s="104"/>
      <c r="G284" s="92"/>
      <c r="H284" s="90">
        <v>2020599</v>
      </c>
      <c r="I284" s="90" t="s">
        <v>11</v>
      </c>
      <c r="J284" s="104"/>
      <c r="K284" s="104"/>
      <c r="L284" s="104"/>
      <c r="M284" s="92" t="str">
        <f t="shared" si="10"/>
        <v/>
      </c>
      <c r="N284" s="104">
        <v>0</v>
      </c>
      <c r="O284" s="92" t="str">
        <f t="shared" si="11"/>
        <v/>
      </c>
      <c r="T284" s="97"/>
    </row>
    <row r="285" spans="1:20" ht="18" hidden="1" customHeight="1">
      <c r="A285" s="107"/>
      <c r="B285" s="104"/>
      <c r="C285" s="104"/>
      <c r="D285" s="104"/>
      <c r="E285" s="92"/>
      <c r="F285" s="104"/>
      <c r="G285" s="92"/>
      <c r="H285" s="90">
        <v>20206</v>
      </c>
      <c r="I285" s="80" t="s">
        <v>12</v>
      </c>
      <c r="J285" s="104"/>
      <c r="K285" s="104"/>
      <c r="L285" s="104"/>
      <c r="M285" s="92" t="str">
        <f t="shared" si="10"/>
        <v/>
      </c>
      <c r="N285" s="104">
        <v>0</v>
      </c>
      <c r="O285" s="92" t="str">
        <f t="shared" si="11"/>
        <v/>
      </c>
      <c r="T285" s="97"/>
    </row>
    <row r="286" spans="1:20" ht="18" hidden="1" customHeight="1">
      <c r="A286" s="103"/>
      <c r="B286" s="104"/>
      <c r="C286" s="104"/>
      <c r="D286" s="104"/>
      <c r="E286" s="92"/>
      <c r="F286" s="104"/>
      <c r="G286" s="92"/>
      <c r="H286" s="90">
        <v>2020601</v>
      </c>
      <c r="I286" s="90" t="s">
        <v>13</v>
      </c>
      <c r="J286" s="104"/>
      <c r="K286" s="104"/>
      <c r="L286" s="104"/>
      <c r="M286" s="92" t="str">
        <f t="shared" si="10"/>
        <v/>
      </c>
      <c r="N286" s="104">
        <v>0</v>
      </c>
      <c r="O286" s="92" t="str">
        <f t="shared" si="11"/>
        <v/>
      </c>
      <c r="T286" s="97"/>
    </row>
    <row r="287" spans="1:20" ht="18" hidden="1" customHeight="1">
      <c r="A287" s="103"/>
      <c r="B287" s="104"/>
      <c r="C287" s="104"/>
      <c r="D287" s="104"/>
      <c r="E287" s="92"/>
      <c r="F287" s="104"/>
      <c r="G287" s="92"/>
      <c r="H287" s="90">
        <v>20207</v>
      </c>
      <c r="I287" s="80" t="s">
        <v>14</v>
      </c>
      <c r="J287" s="104"/>
      <c r="K287" s="104"/>
      <c r="L287" s="104"/>
      <c r="M287" s="92" t="str">
        <f t="shared" si="10"/>
        <v/>
      </c>
      <c r="N287" s="104">
        <v>0</v>
      </c>
      <c r="O287" s="92" t="str">
        <f t="shared" si="11"/>
        <v/>
      </c>
      <c r="T287" s="97"/>
    </row>
    <row r="288" spans="1:20" ht="18" hidden="1" customHeight="1">
      <c r="A288" s="103"/>
      <c r="B288" s="104"/>
      <c r="C288" s="104"/>
      <c r="D288" s="104"/>
      <c r="E288" s="92"/>
      <c r="F288" s="104"/>
      <c r="G288" s="92"/>
      <c r="H288" s="90">
        <v>2020701</v>
      </c>
      <c r="I288" s="90" t="s">
        <v>15</v>
      </c>
      <c r="J288" s="104"/>
      <c r="K288" s="104"/>
      <c r="L288" s="104"/>
      <c r="M288" s="92" t="str">
        <f t="shared" si="10"/>
        <v/>
      </c>
      <c r="N288" s="104">
        <v>0</v>
      </c>
      <c r="O288" s="92" t="str">
        <f t="shared" si="11"/>
        <v/>
      </c>
      <c r="T288" s="97"/>
    </row>
    <row r="289" spans="1:20" ht="18" hidden="1" customHeight="1">
      <c r="A289" s="103"/>
      <c r="B289" s="104"/>
      <c r="C289" s="104"/>
      <c r="D289" s="104"/>
      <c r="E289" s="92"/>
      <c r="F289" s="104"/>
      <c r="G289" s="92"/>
      <c r="H289" s="90">
        <v>2020702</v>
      </c>
      <c r="I289" s="90" t="s">
        <v>16</v>
      </c>
      <c r="J289" s="104"/>
      <c r="K289" s="104"/>
      <c r="L289" s="104"/>
      <c r="M289" s="92" t="str">
        <f t="shared" si="10"/>
        <v/>
      </c>
      <c r="N289" s="104">
        <v>0</v>
      </c>
      <c r="O289" s="92" t="str">
        <f t="shared" si="11"/>
        <v/>
      </c>
      <c r="T289" s="97"/>
    </row>
    <row r="290" spans="1:20" ht="18" hidden="1" customHeight="1">
      <c r="A290" s="103"/>
      <c r="B290" s="104"/>
      <c r="C290" s="104"/>
      <c r="D290" s="104"/>
      <c r="E290" s="92"/>
      <c r="F290" s="104"/>
      <c r="G290" s="92"/>
      <c r="H290" s="90">
        <v>2020703</v>
      </c>
      <c r="I290" s="90" t="s">
        <v>17</v>
      </c>
      <c r="J290" s="104"/>
      <c r="K290" s="104"/>
      <c r="L290" s="104"/>
      <c r="M290" s="92" t="str">
        <f t="shared" si="10"/>
        <v/>
      </c>
      <c r="N290" s="104">
        <v>0</v>
      </c>
      <c r="O290" s="92" t="str">
        <f t="shared" si="11"/>
        <v/>
      </c>
      <c r="T290" s="97"/>
    </row>
    <row r="291" spans="1:20" ht="18" hidden="1" customHeight="1">
      <c r="A291" s="103"/>
      <c r="B291" s="104"/>
      <c r="C291" s="104"/>
      <c r="D291" s="104"/>
      <c r="E291" s="92"/>
      <c r="F291" s="104"/>
      <c r="G291" s="92"/>
      <c r="H291" s="90">
        <v>2020799</v>
      </c>
      <c r="I291" s="90" t="s">
        <v>18</v>
      </c>
      <c r="J291" s="104"/>
      <c r="K291" s="104"/>
      <c r="L291" s="104"/>
      <c r="M291" s="92" t="str">
        <f t="shared" si="10"/>
        <v/>
      </c>
      <c r="N291" s="104">
        <v>0</v>
      </c>
      <c r="O291" s="92" t="str">
        <f t="shared" si="11"/>
        <v/>
      </c>
      <c r="T291" s="97"/>
    </row>
    <row r="292" spans="1:20" ht="18" hidden="1" customHeight="1">
      <c r="A292" s="103"/>
      <c r="B292" s="104"/>
      <c r="C292" s="104"/>
      <c r="D292" s="104"/>
      <c r="E292" s="92"/>
      <c r="F292" s="104"/>
      <c r="G292" s="92"/>
      <c r="H292" s="90">
        <v>20299</v>
      </c>
      <c r="I292" s="80" t="s">
        <v>19</v>
      </c>
      <c r="J292" s="104"/>
      <c r="K292" s="104"/>
      <c r="L292" s="104"/>
      <c r="M292" s="92" t="str">
        <f t="shared" si="10"/>
        <v/>
      </c>
      <c r="N292" s="104">
        <v>0</v>
      </c>
      <c r="O292" s="92" t="str">
        <f t="shared" si="11"/>
        <v/>
      </c>
      <c r="T292" s="97"/>
    </row>
    <row r="293" spans="1:20" ht="18" hidden="1" customHeight="1">
      <c r="A293" s="103"/>
      <c r="B293" s="104"/>
      <c r="C293" s="104"/>
      <c r="D293" s="104"/>
      <c r="E293" s="92"/>
      <c r="F293" s="104"/>
      <c r="G293" s="92"/>
      <c r="H293" s="90">
        <v>2029901</v>
      </c>
      <c r="I293" s="90" t="s">
        <v>20</v>
      </c>
      <c r="J293" s="104"/>
      <c r="K293" s="104"/>
      <c r="L293" s="104"/>
      <c r="M293" s="92" t="str">
        <f t="shared" si="10"/>
        <v/>
      </c>
      <c r="N293" s="104">
        <v>0</v>
      </c>
      <c r="O293" s="92" t="str">
        <f t="shared" si="11"/>
        <v/>
      </c>
      <c r="T293" s="97"/>
    </row>
    <row r="294" spans="1:20" s="112" customFormat="1" ht="18" hidden="1" customHeight="1">
      <c r="A294" s="111"/>
      <c r="B294" s="109"/>
      <c r="C294" s="109"/>
      <c r="D294" s="109"/>
      <c r="E294" s="82"/>
      <c r="F294" s="109"/>
      <c r="G294" s="82"/>
      <c r="H294" s="80">
        <v>203</v>
      </c>
      <c r="I294" s="80" t="s">
        <v>21</v>
      </c>
      <c r="J294" s="110">
        <v>14150</v>
      </c>
      <c r="K294" s="656">
        <v>7815</v>
      </c>
      <c r="L294" s="77">
        <v>7815</v>
      </c>
      <c r="M294" s="82">
        <f t="shared" si="10"/>
        <v>1</v>
      </c>
      <c r="N294" s="109">
        <v>13595</v>
      </c>
      <c r="O294" s="92">
        <f t="shared" si="11"/>
        <v>-0.4251563074659801</v>
      </c>
      <c r="P294" s="84"/>
      <c r="T294" s="96"/>
    </row>
    <row r="295" spans="1:20" ht="18" hidden="1" customHeight="1">
      <c r="A295" s="103"/>
      <c r="B295" s="104"/>
      <c r="C295" s="104"/>
      <c r="D295" s="104"/>
      <c r="E295" s="92"/>
      <c r="F295" s="104"/>
      <c r="G295" s="92"/>
      <c r="H295" s="90">
        <v>20301</v>
      </c>
      <c r="I295" s="80" t="s">
        <v>22</v>
      </c>
      <c r="J295" s="104"/>
      <c r="K295" s="104"/>
      <c r="L295" s="104"/>
      <c r="M295" s="92" t="str">
        <f t="shared" si="10"/>
        <v/>
      </c>
      <c r="N295" s="104">
        <v>0</v>
      </c>
      <c r="O295" s="92" t="str">
        <f t="shared" si="11"/>
        <v/>
      </c>
      <c r="T295" s="97"/>
    </row>
    <row r="296" spans="1:20" ht="18" hidden="1" customHeight="1">
      <c r="A296" s="103"/>
      <c r="B296" s="104"/>
      <c r="C296" s="104"/>
      <c r="D296" s="104"/>
      <c r="E296" s="92"/>
      <c r="F296" s="104"/>
      <c r="G296" s="92"/>
      <c r="H296" s="90">
        <v>2030101</v>
      </c>
      <c r="I296" s="90" t="s">
        <v>23</v>
      </c>
      <c r="J296" s="104"/>
      <c r="K296" s="104"/>
      <c r="L296" s="104"/>
      <c r="M296" s="92" t="str">
        <f t="shared" si="10"/>
        <v/>
      </c>
      <c r="N296" s="104">
        <v>0</v>
      </c>
      <c r="O296" s="92" t="str">
        <f t="shared" si="11"/>
        <v/>
      </c>
      <c r="T296" s="97"/>
    </row>
    <row r="297" spans="1:20" ht="18" hidden="1" customHeight="1">
      <c r="A297" s="103"/>
      <c r="B297" s="104"/>
      <c r="C297" s="104"/>
      <c r="D297" s="104"/>
      <c r="E297" s="92"/>
      <c r="F297" s="104"/>
      <c r="G297" s="92"/>
      <c r="H297" s="90">
        <v>20304</v>
      </c>
      <c r="I297" s="80" t="s">
        <v>24</v>
      </c>
      <c r="J297" s="104"/>
      <c r="K297" s="104"/>
      <c r="L297" s="104"/>
      <c r="M297" s="92" t="str">
        <f t="shared" si="10"/>
        <v/>
      </c>
      <c r="N297" s="104">
        <v>0</v>
      </c>
      <c r="O297" s="92" t="str">
        <f t="shared" si="11"/>
        <v/>
      </c>
      <c r="T297" s="97"/>
    </row>
    <row r="298" spans="1:20" ht="18" hidden="1" customHeight="1">
      <c r="A298" s="103"/>
      <c r="B298" s="104"/>
      <c r="C298" s="104"/>
      <c r="D298" s="104"/>
      <c r="E298" s="92"/>
      <c r="F298" s="104"/>
      <c r="G298" s="92"/>
      <c r="H298" s="90">
        <v>2030401</v>
      </c>
      <c r="I298" s="90" t="s">
        <v>25</v>
      </c>
      <c r="J298" s="104"/>
      <c r="K298" s="104"/>
      <c r="L298" s="104"/>
      <c r="M298" s="92" t="str">
        <f t="shared" si="10"/>
        <v/>
      </c>
      <c r="N298" s="104">
        <v>0</v>
      </c>
      <c r="O298" s="92" t="str">
        <f t="shared" si="11"/>
        <v/>
      </c>
      <c r="T298" s="97"/>
    </row>
    <row r="299" spans="1:20" ht="18" hidden="1" customHeight="1">
      <c r="A299" s="103"/>
      <c r="B299" s="104"/>
      <c r="C299" s="104"/>
      <c r="D299" s="104"/>
      <c r="E299" s="92"/>
      <c r="F299" s="104"/>
      <c r="G299" s="92"/>
      <c r="H299" s="90">
        <v>20305</v>
      </c>
      <c r="I299" s="80" t="s">
        <v>26</v>
      </c>
      <c r="J299" s="104"/>
      <c r="K299" s="104"/>
      <c r="L299" s="104"/>
      <c r="M299" s="92" t="str">
        <f t="shared" si="10"/>
        <v/>
      </c>
      <c r="N299" s="104">
        <v>0</v>
      </c>
      <c r="O299" s="92" t="str">
        <f t="shared" si="11"/>
        <v/>
      </c>
      <c r="T299" s="97"/>
    </row>
    <row r="300" spans="1:20" ht="18" hidden="1" customHeight="1">
      <c r="A300" s="103"/>
      <c r="B300" s="104"/>
      <c r="C300" s="104"/>
      <c r="D300" s="104"/>
      <c r="E300" s="92"/>
      <c r="F300" s="104"/>
      <c r="G300" s="92"/>
      <c r="H300" s="90">
        <v>2030501</v>
      </c>
      <c r="I300" s="90" t="s">
        <v>27</v>
      </c>
      <c r="J300" s="104"/>
      <c r="K300" s="104"/>
      <c r="L300" s="104"/>
      <c r="M300" s="92" t="str">
        <f t="shared" si="10"/>
        <v/>
      </c>
      <c r="N300" s="104">
        <v>0</v>
      </c>
      <c r="O300" s="92" t="str">
        <f t="shared" si="11"/>
        <v/>
      </c>
      <c r="T300" s="97"/>
    </row>
    <row r="301" spans="1:20" ht="18" hidden="1" customHeight="1">
      <c r="A301" s="103"/>
      <c r="B301" s="104"/>
      <c r="C301" s="104"/>
      <c r="D301" s="104"/>
      <c r="E301" s="92"/>
      <c r="F301" s="104"/>
      <c r="G301" s="92"/>
      <c r="H301" s="90">
        <v>20306</v>
      </c>
      <c r="I301" s="80" t="s">
        <v>28</v>
      </c>
      <c r="J301" s="143">
        <v>1830</v>
      </c>
      <c r="K301" s="143"/>
      <c r="L301" s="87">
        <v>1699</v>
      </c>
      <c r="M301" s="92" t="str">
        <f t="shared" si="10"/>
        <v/>
      </c>
      <c r="N301" s="104">
        <v>1652</v>
      </c>
      <c r="O301" s="92">
        <f t="shared" si="11"/>
        <v>2.8450363196125927E-2</v>
      </c>
      <c r="T301" s="97"/>
    </row>
    <row r="302" spans="1:20" ht="18" hidden="1" customHeight="1">
      <c r="A302" s="103"/>
      <c r="B302" s="104"/>
      <c r="C302" s="104"/>
      <c r="D302" s="104"/>
      <c r="E302" s="92"/>
      <c r="F302" s="104"/>
      <c r="G302" s="92"/>
      <c r="H302" s="90">
        <v>2030601</v>
      </c>
      <c r="I302" s="90" t="s">
        <v>29</v>
      </c>
      <c r="J302" s="104"/>
      <c r="K302" s="104"/>
      <c r="L302" s="104"/>
      <c r="M302" s="92" t="str">
        <f t="shared" si="10"/>
        <v/>
      </c>
      <c r="N302" s="104">
        <v>0</v>
      </c>
      <c r="O302" s="92" t="str">
        <f t="shared" si="11"/>
        <v/>
      </c>
      <c r="T302" s="97"/>
    </row>
    <row r="303" spans="1:20" ht="18" hidden="1" customHeight="1">
      <c r="A303" s="103"/>
      <c r="B303" s="104"/>
      <c r="C303" s="104"/>
      <c r="D303" s="104"/>
      <c r="E303" s="92"/>
      <c r="F303" s="104"/>
      <c r="G303" s="92"/>
      <c r="H303" s="90">
        <v>2030602</v>
      </c>
      <c r="I303" s="90" t="s">
        <v>30</v>
      </c>
      <c r="J303" s="104"/>
      <c r="K303" s="104"/>
      <c r="L303" s="104"/>
      <c r="M303" s="92" t="str">
        <f t="shared" si="10"/>
        <v/>
      </c>
      <c r="N303" s="104">
        <v>0</v>
      </c>
      <c r="O303" s="92" t="str">
        <f t="shared" si="11"/>
        <v/>
      </c>
      <c r="T303" s="97"/>
    </row>
    <row r="304" spans="1:20" ht="18" hidden="1" customHeight="1">
      <c r="A304" s="103"/>
      <c r="B304" s="104"/>
      <c r="C304" s="104"/>
      <c r="D304" s="104"/>
      <c r="E304" s="92"/>
      <c r="F304" s="104"/>
      <c r="G304" s="92"/>
      <c r="H304" s="90">
        <v>2030603</v>
      </c>
      <c r="I304" s="90" t="s">
        <v>31</v>
      </c>
      <c r="J304" s="104"/>
      <c r="K304" s="104"/>
      <c r="L304" s="104"/>
      <c r="M304" s="92" t="str">
        <f t="shared" si="10"/>
        <v/>
      </c>
      <c r="N304" s="104">
        <v>0</v>
      </c>
      <c r="O304" s="92" t="str">
        <f t="shared" si="11"/>
        <v/>
      </c>
      <c r="T304" s="97"/>
    </row>
    <row r="305" spans="1:20" ht="18" hidden="1" customHeight="1">
      <c r="A305" s="103"/>
      <c r="B305" s="104"/>
      <c r="C305" s="104"/>
      <c r="D305" s="104"/>
      <c r="E305" s="92"/>
      <c r="F305" s="104"/>
      <c r="G305" s="92"/>
      <c r="H305" s="90">
        <v>2030604</v>
      </c>
      <c r="I305" s="90" t="s">
        <v>32</v>
      </c>
      <c r="J305" s="104"/>
      <c r="K305" s="104"/>
      <c r="L305" s="104"/>
      <c r="M305" s="92" t="str">
        <f t="shared" si="10"/>
        <v/>
      </c>
      <c r="N305" s="104">
        <v>0</v>
      </c>
      <c r="O305" s="92" t="str">
        <f t="shared" si="11"/>
        <v/>
      </c>
      <c r="T305" s="97"/>
    </row>
    <row r="306" spans="1:20" ht="18" hidden="1" customHeight="1">
      <c r="A306" s="103"/>
      <c r="B306" s="104"/>
      <c r="C306" s="104"/>
      <c r="D306" s="104"/>
      <c r="E306" s="92"/>
      <c r="F306" s="104"/>
      <c r="G306" s="92"/>
      <c r="H306" s="90">
        <v>2030605</v>
      </c>
      <c r="I306" s="90" t="s">
        <v>33</v>
      </c>
      <c r="J306" s="104"/>
      <c r="K306" s="104"/>
      <c r="L306" s="104"/>
      <c r="M306" s="92" t="str">
        <f t="shared" si="10"/>
        <v/>
      </c>
      <c r="N306" s="104">
        <v>0</v>
      </c>
      <c r="O306" s="92" t="str">
        <f t="shared" si="11"/>
        <v/>
      </c>
      <c r="T306" s="97"/>
    </row>
    <row r="307" spans="1:20" ht="18" hidden="1" customHeight="1">
      <c r="A307" s="103"/>
      <c r="B307" s="104"/>
      <c r="C307" s="104"/>
      <c r="D307" s="104"/>
      <c r="E307" s="92"/>
      <c r="F307" s="104"/>
      <c r="G307" s="92"/>
      <c r="H307" s="90">
        <v>2030606</v>
      </c>
      <c r="I307" s="90" t="s">
        <v>34</v>
      </c>
      <c r="J307" s="104"/>
      <c r="K307" s="104"/>
      <c r="L307" s="104"/>
      <c r="M307" s="92" t="str">
        <f t="shared" si="10"/>
        <v/>
      </c>
      <c r="N307" s="104">
        <v>0</v>
      </c>
      <c r="O307" s="92" t="str">
        <f t="shared" si="11"/>
        <v/>
      </c>
      <c r="T307" s="97"/>
    </row>
    <row r="308" spans="1:20" ht="18" hidden="1" customHeight="1">
      <c r="A308" s="103"/>
      <c r="B308" s="104"/>
      <c r="C308" s="104"/>
      <c r="D308" s="104"/>
      <c r="E308" s="92"/>
      <c r="F308" s="104"/>
      <c r="G308" s="92"/>
      <c r="H308" s="90">
        <v>2030607</v>
      </c>
      <c r="I308" s="90" t="s">
        <v>35</v>
      </c>
      <c r="J308" s="143">
        <v>1603</v>
      </c>
      <c r="K308" s="143"/>
      <c r="L308" s="87">
        <v>1699</v>
      </c>
      <c r="M308" s="92" t="str">
        <f t="shared" si="10"/>
        <v/>
      </c>
      <c r="N308" s="104">
        <v>1652</v>
      </c>
      <c r="O308" s="92">
        <f t="shared" si="11"/>
        <v>2.8450363196125927E-2</v>
      </c>
      <c r="T308" s="97"/>
    </row>
    <row r="309" spans="1:20" ht="18" hidden="1" customHeight="1">
      <c r="A309" s="103"/>
      <c r="B309" s="104"/>
      <c r="C309" s="104"/>
      <c r="D309" s="104"/>
      <c r="E309" s="92"/>
      <c r="F309" s="104"/>
      <c r="G309" s="92"/>
      <c r="H309" s="90" t="s">
        <v>36</v>
      </c>
      <c r="I309" s="90" t="s">
        <v>37</v>
      </c>
      <c r="J309" s="143">
        <v>227</v>
      </c>
      <c r="K309" s="143"/>
      <c r="L309" s="87">
        <v>0</v>
      </c>
      <c r="M309" s="92" t="str">
        <f t="shared" si="10"/>
        <v/>
      </c>
      <c r="N309" s="104">
        <v>0</v>
      </c>
      <c r="O309" s="92" t="str">
        <f t="shared" si="11"/>
        <v/>
      </c>
      <c r="T309" s="97"/>
    </row>
    <row r="310" spans="1:20" ht="18" hidden="1" customHeight="1">
      <c r="A310" s="103"/>
      <c r="B310" s="104"/>
      <c r="C310" s="104"/>
      <c r="D310" s="104"/>
      <c r="E310" s="92"/>
      <c r="F310" s="104"/>
      <c r="G310" s="92"/>
      <c r="H310" s="90">
        <v>20399</v>
      </c>
      <c r="I310" s="80" t="s">
        <v>38</v>
      </c>
      <c r="J310" s="143">
        <v>12320</v>
      </c>
      <c r="K310" s="143"/>
      <c r="L310" s="87">
        <v>6116</v>
      </c>
      <c r="M310" s="92" t="str">
        <f t="shared" si="10"/>
        <v/>
      </c>
      <c r="N310" s="104">
        <v>11943</v>
      </c>
      <c r="O310" s="92">
        <f t="shared" si="11"/>
        <v>-0.48790086242987529</v>
      </c>
      <c r="T310" s="97"/>
    </row>
    <row r="311" spans="1:20" ht="18" hidden="1" customHeight="1">
      <c r="A311" s="103"/>
      <c r="B311" s="104"/>
      <c r="C311" s="104"/>
      <c r="D311" s="104"/>
      <c r="E311" s="92"/>
      <c r="F311" s="104"/>
      <c r="G311" s="92"/>
      <c r="H311" s="90">
        <v>2039901</v>
      </c>
      <c r="I311" s="90" t="s">
        <v>39</v>
      </c>
      <c r="J311" s="143">
        <v>12320</v>
      </c>
      <c r="K311" s="143"/>
      <c r="L311" s="87">
        <v>6116</v>
      </c>
      <c r="M311" s="92" t="str">
        <f t="shared" si="10"/>
        <v/>
      </c>
      <c r="N311" s="104">
        <v>11943</v>
      </c>
      <c r="O311" s="92">
        <f t="shared" si="11"/>
        <v>-0.48790086242987529</v>
      </c>
      <c r="T311" s="97"/>
    </row>
    <row r="312" spans="1:20" s="112" customFormat="1" ht="18" customHeight="1">
      <c r="A312" s="111"/>
      <c r="B312" s="109"/>
      <c r="C312" s="109"/>
      <c r="D312" s="109"/>
      <c r="E312" s="82"/>
      <c r="F312" s="109"/>
      <c r="G312" s="82"/>
      <c r="H312" s="80">
        <v>204</v>
      </c>
      <c r="I312" s="80" t="s">
        <v>40</v>
      </c>
      <c r="J312" s="110">
        <v>817844</v>
      </c>
      <c r="K312" s="656">
        <v>531505</v>
      </c>
      <c r="L312" s="77">
        <v>528861</v>
      </c>
      <c r="M312" s="82">
        <f t="shared" si="10"/>
        <v>0.99502544660915704</v>
      </c>
      <c r="N312" s="109">
        <v>439467</v>
      </c>
      <c r="O312" s="82">
        <f t="shared" si="11"/>
        <v>0.20341459085665137</v>
      </c>
      <c r="P312" s="84"/>
      <c r="T312" s="96"/>
    </row>
    <row r="313" spans="1:20" ht="18" hidden="1" customHeight="1">
      <c r="A313" s="103"/>
      <c r="B313" s="104"/>
      <c r="C313" s="104"/>
      <c r="D313" s="104"/>
      <c r="E313" s="92"/>
      <c r="F313" s="104"/>
      <c r="G313" s="92"/>
      <c r="H313" s="90">
        <v>20401</v>
      </c>
      <c r="I313" s="80" t="s">
        <v>41</v>
      </c>
      <c r="J313" s="143">
        <v>43321</v>
      </c>
      <c r="K313" s="647">
        <v>44658</v>
      </c>
      <c r="L313" s="87">
        <v>42458</v>
      </c>
      <c r="M313" s="92">
        <f t="shared" si="10"/>
        <v>0.95073671010793137</v>
      </c>
      <c r="N313" s="104">
        <v>37600</v>
      </c>
      <c r="O313" s="92">
        <f t="shared" si="11"/>
        <v>0.12920212765957451</v>
      </c>
      <c r="T313" s="97"/>
    </row>
    <row r="314" spans="1:20" ht="18" hidden="1" customHeight="1">
      <c r="A314" s="103"/>
      <c r="B314" s="104"/>
      <c r="C314" s="104"/>
      <c r="D314" s="104"/>
      <c r="E314" s="92"/>
      <c r="F314" s="104"/>
      <c r="G314" s="92"/>
      <c r="H314" s="90">
        <v>2040101</v>
      </c>
      <c r="I314" s="90" t="s">
        <v>42</v>
      </c>
      <c r="J314" s="104"/>
      <c r="K314" s="104"/>
      <c r="L314" s="87">
        <v>2869</v>
      </c>
      <c r="M314" s="92" t="str">
        <f t="shared" si="10"/>
        <v/>
      </c>
      <c r="N314" s="104">
        <v>2937</v>
      </c>
      <c r="O314" s="92">
        <f t="shared" si="11"/>
        <v>-2.3152877085461321E-2</v>
      </c>
      <c r="T314" s="97"/>
    </row>
    <row r="315" spans="1:20" ht="18" hidden="1" customHeight="1">
      <c r="A315" s="103"/>
      <c r="B315" s="104"/>
      <c r="C315" s="104"/>
      <c r="D315" s="104"/>
      <c r="E315" s="92"/>
      <c r="F315" s="104"/>
      <c r="G315" s="92"/>
      <c r="H315" s="90">
        <v>2040102</v>
      </c>
      <c r="I315" s="90" t="s">
        <v>43</v>
      </c>
      <c r="J315" s="143">
        <v>39800</v>
      </c>
      <c r="K315" s="143"/>
      <c r="L315" s="87">
        <v>14044</v>
      </c>
      <c r="M315" s="92" t="str">
        <f t="shared" si="10"/>
        <v/>
      </c>
      <c r="N315" s="104">
        <v>11345</v>
      </c>
      <c r="O315" s="92">
        <f t="shared" si="11"/>
        <v>0.23790215954164839</v>
      </c>
      <c r="T315" s="97"/>
    </row>
    <row r="316" spans="1:20" ht="18" hidden="1" customHeight="1">
      <c r="A316" s="103"/>
      <c r="B316" s="104"/>
      <c r="C316" s="104"/>
      <c r="D316" s="104"/>
      <c r="E316" s="92"/>
      <c r="F316" s="104"/>
      <c r="G316" s="92"/>
      <c r="H316" s="90">
        <v>2040103</v>
      </c>
      <c r="I316" s="90" t="s">
        <v>44</v>
      </c>
      <c r="J316" s="104"/>
      <c r="K316" s="104"/>
      <c r="L316" s="87">
        <v>24893</v>
      </c>
      <c r="M316" s="92" t="str">
        <f t="shared" si="10"/>
        <v/>
      </c>
      <c r="N316" s="104">
        <v>23318</v>
      </c>
      <c r="O316" s="92">
        <f t="shared" si="11"/>
        <v>6.7544386311004345E-2</v>
      </c>
      <c r="T316" s="97"/>
    </row>
    <row r="317" spans="1:20" ht="18" hidden="1" customHeight="1">
      <c r="A317" s="103"/>
      <c r="B317" s="104"/>
      <c r="C317" s="104"/>
      <c r="D317" s="104"/>
      <c r="E317" s="92"/>
      <c r="F317" s="104"/>
      <c r="G317" s="92"/>
      <c r="H317" s="90">
        <v>2040104</v>
      </c>
      <c r="I317" s="90" t="s">
        <v>45</v>
      </c>
      <c r="J317" s="104"/>
      <c r="K317" s="104"/>
      <c r="L317" s="104"/>
      <c r="M317" s="92" t="str">
        <f t="shared" si="10"/>
        <v/>
      </c>
      <c r="N317" s="104">
        <v>0</v>
      </c>
      <c r="O317" s="92" t="str">
        <f t="shared" si="11"/>
        <v/>
      </c>
      <c r="T317" s="97"/>
    </row>
    <row r="318" spans="1:20" ht="18" hidden="1" customHeight="1">
      <c r="A318" s="103"/>
      <c r="B318" s="104"/>
      <c r="C318" s="104"/>
      <c r="D318" s="104"/>
      <c r="E318" s="92"/>
      <c r="F318" s="104"/>
      <c r="G318" s="92"/>
      <c r="H318" s="90">
        <v>2040105</v>
      </c>
      <c r="I318" s="90" t="s">
        <v>46</v>
      </c>
      <c r="J318" s="104"/>
      <c r="K318" s="104"/>
      <c r="L318" s="104"/>
      <c r="M318" s="92" t="str">
        <f t="shared" si="10"/>
        <v/>
      </c>
      <c r="N318" s="104">
        <v>0</v>
      </c>
      <c r="O318" s="92" t="str">
        <f t="shared" si="11"/>
        <v/>
      </c>
      <c r="T318" s="97"/>
    </row>
    <row r="319" spans="1:20" ht="18" hidden="1" customHeight="1">
      <c r="A319" s="103"/>
      <c r="B319" s="104"/>
      <c r="C319" s="104"/>
      <c r="D319" s="104"/>
      <c r="E319" s="92"/>
      <c r="F319" s="104"/>
      <c r="G319" s="92"/>
      <c r="H319" s="90">
        <v>2040106</v>
      </c>
      <c r="I319" s="90" t="s">
        <v>47</v>
      </c>
      <c r="J319" s="104"/>
      <c r="K319" s="104"/>
      <c r="L319" s="104"/>
      <c r="M319" s="92" t="str">
        <f t="shared" si="10"/>
        <v/>
      </c>
      <c r="N319" s="104">
        <v>0</v>
      </c>
      <c r="O319" s="92" t="str">
        <f t="shared" si="11"/>
        <v/>
      </c>
      <c r="T319" s="97"/>
    </row>
    <row r="320" spans="1:20" ht="18" hidden="1" customHeight="1">
      <c r="A320" s="103"/>
      <c r="B320" s="104"/>
      <c r="C320" s="104"/>
      <c r="D320" s="104"/>
      <c r="E320" s="92"/>
      <c r="F320" s="104"/>
      <c r="G320" s="92"/>
      <c r="H320" s="90">
        <v>2040107</v>
      </c>
      <c r="I320" s="90" t="s">
        <v>48</v>
      </c>
      <c r="J320" s="104"/>
      <c r="K320" s="104"/>
      <c r="L320" s="104"/>
      <c r="M320" s="92" t="str">
        <f t="shared" si="10"/>
        <v/>
      </c>
      <c r="N320" s="104">
        <v>0</v>
      </c>
      <c r="O320" s="92" t="str">
        <f t="shared" si="11"/>
        <v/>
      </c>
      <c r="T320" s="97"/>
    </row>
    <row r="321" spans="1:20" ht="18" hidden="1" customHeight="1">
      <c r="A321" s="103"/>
      <c r="B321" s="104"/>
      <c r="C321" s="104"/>
      <c r="D321" s="104"/>
      <c r="E321" s="92"/>
      <c r="F321" s="104"/>
      <c r="G321" s="92"/>
      <c r="H321" s="90">
        <v>2040108</v>
      </c>
      <c r="I321" s="90" t="s">
        <v>49</v>
      </c>
      <c r="J321" s="104"/>
      <c r="K321" s="104"/>
      <c r="L321" s="104"/>
      <c r="M321" s="92" t="str">
        <f t="shared" si="10"/>
        <v/>
      </c>
      <c r="N321" s="104">
        <v>0</v>
      </c>
      <c r="O321" s="92" t="str">
        <f t="shared" si="11"/>
        <v/>
      </c>
      <c r="T321" s="97"/>
    </row>
    <row r="322" spans="1:20" ht="18" hidden="1" customHeight="1">
      <c r="A322" s="103"/>
      <c r="B322" s="104"/>
      <c r="C322" s="104"/>
      <c r="D322" s="104"/>
      <c r="E322" s="92"/>
      <c r="F322" s="104"/>
      <c r="G322" s="92"/>
      <c r="H322" s="90">
        <v>2040199</v>
      </c>
      <c r="I322" s="90" t="s">
        <v>50</v>
      </c>
      <c r="J322" s="104">
        <v>3521</v>
      </c>
      <c r="K322" s="104"/>
      <c r="L322" s="87">
        <v>652</v>
      </c>
      <c r="M322" s="92" t="str">
        <f t="shared" si="10"/>
        <v/>
      </c>
      <c r="N322" s="104">
        <v>0</v>
      </c>
      <c r="O322" s="92" t="str">
        <f t="shared" si="11"/>
        <v/>
      </c>
      <c r="T322" s="97"/>
    </row>
    <row r="323" spans="1:20" ht="18" customHeight="1">
      <c r="A323" s="103"/>
      <c r="B323" s="104"/>
      <c r="C323" s="104"/>
      <c r="D323" s="104"/>
      <c r="E323" s="92"/>
      <c r="F323" s="104"/>
      <c r="G323" s="92"/>
      <c r="H323" s="90">
        <v>20402</v>
      </c>
      <c r="I323" s="80" t="s">
        <v>51</v>
      </c>
      <c r="J323" s="143">
        <v>444941</v>
      </c>
      <c r="K323" s="647">
        <v>332834</v>
      </c>
      <c r="L323" s="87">
        <v>332415</v>
      </c>
      <c r="M323" s="92">
        <f t="shared" si="10"/>
        <v>0.9987411141890552</v>
      </c>
      <c r="N323" s="104">
        <v>239110</v>
      </c>
      <c r="O323" s="92">
        <f t="shared" si="11"/>
        <v>0.39021789134707885</v>
      </c>
      <c r="T323" s="97"/>
    </row>
    <row r="324" spans="1:20" ht="18" customHeight="1">
      <c r="A324" s="103"/>
      <c r="B324" s="104"/>
      <c r="C324" s="104"/>
      <c r="D324" s="104"/>
      <c r="E324" s="92"/>
      <c r="F324" s="104"/>
      <c r="G324" s="92"/>
      <c r="H324" s="90">
        <v>2040201</v>
      </c>
      <c r="I324" s="90" t="s">
        <v>1110</v>
      </c>
      <c r="J324" s="143">
        <v>162464</v>
      </c>
      <c r="K324" s="143"/>
      <c r="L324" s="87">
        <v>180162</v>
      </c>
      <c r="M324" s="92" t="str">
        <f t="shared" si="10"/>
        <v/>
      </c>
      <c r="N324" s="104">
        <v>153155</v>
      </c>
      <c r="O324" s="92">
        <f t="shared" si="11"/>
        <v>0.17633769710424074</v>
      </c>
      <c r="T324" s="97"/>
    </row>
    <row r="325" spans="1:20" ht="18" customHeight="1">
      <c r="A325" s="103"/>
      <c r="B325" s="104"/>
      <c r="C325" s="104"/>
      <c r="D325" s="104"/>
      <c r="E325" s="92"/>
      <c r="F325" s="104"/>
      <c r="G325" s="92"/>
      <c r="H325" s="90">
        <v>2040202</v>
      </c>
      <c r="I325" s="90" t="s">
        <v>1111</v>
      </c>
      <c r="J325" s="143">
        <v>23061</v>
      </c>
      <c r="K325" s="143"/>
      <c r="L325" s="87">
        <v>17819</v>
      </c>
      <c r="M325" s="92" t="str">
        <f t="shared" si="10"/>
        <v/>
      </c>
      <c r="N325" s="104">
        <v>12019</v>
      </c>
      <c r="O325" s="92">
        <f t="shared" si="11"/>
        <v>0.4825692653298943</v>
      </c>
      <c r="T325" s="97"/>
    </row>
    <row r="326" spans="1:20" ht="18" customHeight="1">
      <c r="A326" s="103"/>
      <c r="B326" s="104"/>
      <c r="C326" s="104"/>
      <c r="D326" s="104"/>
      <c r="E326" s="92"/>
      <c r="F326" s="104"/>
      <c r="G326" s="92"/>
      <c r="H326" s="90">
        <v>2040203</v>
      </c>
      <c r="I326" s="90" t="s">
        <v>1112</v>
      </c>
      <c r="J326" s="143">
        <v>0</v>
      </c>
      <c r="K326" s="143"/>
      <c r="L326" s="87">
        <v>0</v>
      </c>
      <c r="M326" s="92" t="str">
        <f t="shared" ref="M326:M389" si="12">+IF(ISERROR(L326/K326),"",L326/K326)</f>
        <v/>
      </c>
      <c r="N326" s="104">
        <v>0</v>
      </c>
      <c r="O326" s="92" t="str">
        <f t="shared" si="11"/>
        <v/>
      </c>
      <c r="T326" s="97"/>
    </row>
    <row r="327" spans="1:20" ht="18" customHeight="1">
      <c r="A327" s="103"/>
      <c r="B327" s="104"/>
      <c r="C327" s="104"/>
      <c r="D327" s="104"/>
      <c r="E327" s="92"/>
      <c r="F327" s="104"/>
      <c r="G327" s="92"/>
      <c r="H327" s="90">
        <v>2040204</v>
      </c>
      <c r="I327" s="90" t="s">
        <v>52</v>
      </c>
      <c r="J327" s="143">
        <v>20667</v>
      </c>
      <c r="K327" s="143"/>
      <c r="L327" s="87">
        <v>19109</v>
      </c>
      <c r="M327" s="92" t="str">
        <f t="shared" si="12"/>
        <v/>
      </c>
      <c r="N327" s="104">
        <v>14879</v>
      </c>
      <c r="O327" s="92">
        <f t="shared" ref="O327:O390" si="13">IF(ISERROR(L327/N327-1),"",(L327/N327-1))</f>
        <v>0.28429329928086555</v>
      </c>
      <c r="T327" s="97"/>
    </row>
    <row r="328" spans="1:20" ht="18" customHeight="1">
      <c r="A328" s="103"/>
      <c r="B328" s="104"/>
      <c r="C328" s="104"/>
      <c r="D328" s="104"/>
      <c r="E328" s="92"/>
      <c r="F328" s="104"/>
      <c r="G328" s="92"/>
      <c r="H328" s="90">
        <v>2040205</v>
      </c>
      <c r="I328" s="90" t="s">
        <v>53</v>
      </c>
      <c r="J328" s="143">
        <v>1544</v>
      </c>
      <c r="K328" s="143"/>
      <c r="L328" s="87">
        <v>1544</v>
      </c>
      <c r="M328" s="92" t="str">
        <f t="shared" si="12"/>
        <v/>
      </c>
      <c r="N328" s="104">
        <v>1416</v>
      </c>
      <c r="O328" s="92">
        <f t="shared" si="13"/>
        <v>9.0395480225988756E-2</v>
      </c>
      <c r="T328" s="97"/>
    </row>
    <row r="329" spans="1:20" ht="18" customHeight="1">
      <c r="A329" s="103"/>
      <c r="B329" s="104"/>
      <c r="C329" s="104"/>
      <c r="D329" s="104"/>
      <c r="E329" s="92"/>
      <c r="F329" s="104"/>
      <c r="G329" s="92"/>
      <c r="H329" s="90">
        <v>2040206</v>
      </c>
      <c r="I329" s="90" t="s">
        <v>54</v>
      </c>
      <c r="J329" s="143">
        <v>6875</v>
      </c>
      <c r="K329" s="143"/>
      <c r="L329" s="87">
        <v>7002</v>
      </c>
      <c r="M329" s="92" t="str">
        <f t="shared" si="12"/>
        <v/>
      </c>
      <c r="N329" s="104">
        <v>2484</v>
      </c>
      <c r="O329" s="92">
        <f t="shared" si="13"/>
        <v>1.818840579710145</v>
      </c>
      <c r="T329" s="97"/>
    </row>
    <row r="330" spans="1:20" ht="18" customHeight="1">
      <c r="A330" s="103"/>
      <c r="B330" s="104"/>
      <c r="C330" s="104"/>
      <c r="D330" s="104"/>
      <c r="E330" s="92"/>
      <c r="F330" s="104"/>
      <c r="G330" s="92"/>
      <c r="H330" s="90">
        <v>2040207</v>
      </c>
      <c r="I330" s="90" t="s">
        <v>55</v>
      </c>
      <c r="J330" s="143">
        <v>948</v>
      </c>
      <c r="K330" s="143"/>
      <c r="L330" s="87">
        <v>998</v>
      </c>
      <c r="M330" s="92" t="str">
        <f t="shared" si="12"/>
        <v/>
      </c>
      <c r="N330" s="104">
        <v>1310</v>
      </c>
      <c r="O330" s="92">
        <f t="shared" si="13"/>
        <v>-0.23816793893129773</v>
      </c>
      <c r="T330" s="97"/>
    </row>
    <row r="331" spans="1:20" ht="18" customHeight="1">
      <c r="A331" s="103"/>
      <c r="B331" s="104"/>
      <c r="C331" s="104"/>
      <c r="D331" s="104"/>
      <c r="E331" s="92"/>
      <c r="F331" s="104"/>
      <c r="G331" s="92"/>
      <c r="H331" s="90">
        <v>2040208</v>
      </c>
      <c r="I331" s="90" t="s">
        <v>56</v>
      </c>
      <c r="J331" s="143">
        <v>1001</v>
      </c>
      <c r="K331" s="143"/>
      <c r="L331" s="87">
        <v>1081</v>
      </c>
      <c r="M331" s="92" t="str">
        <f t="shared" si="12"/>
        <v/>
      </c>
      <c r="N331" s="104">
        <v>1351</v>
      </c>
      <c r="O331" s="92">
        <f t="shared" si="13"/>
        <v>-0.19985196150999263</v>
      </c>
      <c r="T331" s="97"/>
    </row>
    <row r="332" spans="1:20" ht="18" customHeight="1">
      <c r="A332" s="103"/>
      <c r="B332" s="104"/>
      <c r="C332" s="104"/>
      <c r="D332" s="104"/>
      <c r="E332" s="92"/>
      <c r="F332" s="104"/>
      <c r="G332" s="92"/>
      <c r="H332" s="90">
        <v>2040209</v>
      </c>
      <c r="I332" s="90" t="s">
        <v>57</v>
      </c>
      <c r="J332" s="143">
        <v>1751</v>
      </c>
      <c r="K332" s="143"/>
      <c r="L332" s="87">
        <v>13734</v>
      </c>
      <c r="M332" s="92" t="str">
        <f t="shared" si="12"/>
        <v/>
      </c>
      <c r="N332" s="104">
        <v>1377</v>
      </c>
      <c r="O332" s="92">
        <f t="shared" si="13"/>
        <v>8.9738562091503269</v>
      </c>
      <c r="T332" s="97"/>
    </row>
    <row r="333" spans="1:20" ht="18" customHeight="1">
      <c r="A333" s="103"/>
      <c r="B333" s="104"/>
      <c r="C333" s="104"/>
      <c r="D333" s="104"/>
      <c r="E333" s="92"/>
      <c r="F333" s="104"/>
      <c r="G333" s="92"/>
      <c r="H333" s="90">
        <v>2040210</v>
      </c>
      <c r="I333" s="90" t="s">
        <v>58</v>
      </c>
      <c r="J333" s="143">
        <v>0</v>
      </c>
      <c r="K333" s="143"/>
      <c r="L333" s="87">
        <v>0</v>
      </c>
      <c r="M333" s="92" t="str">
        <f t="shared" si="12"/>
        <v/>
      </c>
      <c r="N333" s="104">
        <v>0</v>
      </c>
      <c r="O333" s="92" t="str">
        <f t="shared" si="13"/>
        <v/>
      </c>
      <c r="T333" s="97"/>
    </row>
    <row r="334" spans="1:20" ht="18" customHeight="1">
      <c r="A334" s="103"/>
      <c r="B334" s="104"/>
      <c r="C334" s="104"/>
      <c r="D334" s="104"/>
      <c r="E334" s="92"/>
      <c r="F334" s="104"/>
      <c r="G334" s="92"/>
      <c r="H334" s="90">
        <v>2040211</v>
      </c>
      <c r="I334" s="90" t="s">
        <v>59</v>
      </c>
      <c r="J334" s="143">
        <v>1475</v>
      </c>
      <c r="K334" s="143"/>
      <c r="L334" s="87">
        <v>998</v>
      </c>
      <c r="M334" s="92" t="str">
        <f t="shared" si="12"/>
        <v/>
      </c>
      <c r="N334" s="104">
        <v>820</v>
      </c>
      <c r="O334" s="92">
        <f t="shared" si="13"/>
        <v>0.21707317073170729</v>
      </c>
      <c r="T334" s="97"/>
    </row>
    <row r="335" spans="1:20" ht="18" customHeight="1">
      <c r="A335" s="103"/>
      <c r="B335" s="104"/>
      <c r="C335" s="104"/>
      <c r="D335" s="104"/>
      <c r="E335" s="92"/>
      <c r="F335" s="104"/>
      <c r="G335" s="92"/>
      <c r="H335" s="90">
        <v>2040212</v>
      </c>
      <c r="I335" s="90" t="s">
        <v>60</v>
      </c>
      <c r="J335" s="143">
        <v>70630</v>
      </c>
      <c r="K335" s="143"/>
      <c r="L335" s="87">
        <v>44307</v>
      </c>
      <c r="M335" s="92" t="str">
        <f t="shared" si="12"/>
        <v/>
      </c>
      <c r="N335" s="104">
        <v>25557</v>
      </c>
      <c r="O335" s="92">
        <f t="shared" si="13"/>
        <v>0.73365418476346989</v>
      </c>
      <c r="T335" s="97"/>
    </row>
    <row r="336" spans="1:20" ht="18" customHeight="1">
      <c r="A336" s="103"/>
      <c r="B336" s="104"/>
      <c r="C336" s="104"/>
      <c r="D336" s="104"/>
      <c r="E336" s="92"/>
      <c r="F336" s="104"/>
      <c r="G336" s="92"/>
      <c r="H336" s="90">
        <v>2040213</v>
      </c>
      <c r="I336" s="90" t="s">
        <v>61</v>
      </c>
      <c r="J336" s="143">
        <v>1287</v>
      </c>
      <c r="K336" s="143"/>
      <c r="L336" s="87">
        <v>1787</v>
      </c>
      <c r="M336" s="92" t="str">
        <f t="shared" si="12"/>
        <v/>
      </c>
      <c r="N336" s="104">
        <v>854</v>
      </c>
      <c r="O336" s="92">
        <f t="shared" si="13"/>
        <v>1.0925058548009368</v>
      </c>
      <c r="T336" s="97"/>
    </row>
    <row r="337" spans="1:20" ht="18" customHeight="1">
      <c r="A337" s="103"/>
      <c r="B337" s="104"/>
      <c r="C337" s="104"/>
      <c r="D337" s="104"/>
      <c r="E337" s="92"/>
      <c r="F337" s="104"/>
      <c r="G337" s="92"/>
      <c r="H337" s="90">
        <v>2040214</v>
      </c>
      <c r="I337" s="90" t="s">
        <v>62</v>
      </c>
      <c r="J337" s="143">
        <v>582</v>
      </c>
      <c r="K337" s="143"/>
      <c r="L337" s="87">
        <v>663</v>
      </c>
      <c r="M337" s="92" t="str">
        <f t="shared" si="12"/>
        <v/>
      </c>
      <c r="N337" s="104">
        <v>609</v>
      </c>
      <c r="O337" s="92">
        <f t="shared" si="13"/>
        <v>8.8669950738916148E-2</v>
      </c>
      <c r="T337" s="97"/>
    </row>
    <row r="338" spans="1:20" ht="18" customHeight="1">
      <c r="A338" s="103"/>
      <c r="B338" s="104"/>
      <c r="C338" s="104"/>
      <c r="D338" s="104"/>
      <c r="E338" s="92"/>
      <c r="F338" s="104"/>
      <c r="G338" s="92"/>
      <c r="H338" s="90">
        <v>2040215</v>
      </c>
      <c r="I338" s="90" t="s">
        <v>63</v>
      </c>
      <c r="J338" s="143">
        <v>9124</v>
      </c>
      <c r="K338" s="143"/>
      <c r="L338" s="87">
        <v>4079</v>
      </c>
      <c r="M338" s="92" t="str">
        <f t="shared" si="12"/>
        <v/>
      </c>
      <c r="N338" s="104">
        <v>5247</v>
      </c>
      <c r="O338" s="92">
        <f t="shared" si="13"/>
        <v>-0.22260339241471316</v>
      </c>
      <c r="T338" s="97"/>
    </row>
    <row r="339" spans="1:20" ht="18" customHeight="1">
      <c r="A339" s="103"/>
      <c r="B339" s="104"/>
      <c r="C339" s="104"/>
      <c r="D339" s="104"/>
      <c r="E339" s="92"/>
      <c r="F339" s="104"/>
      <c r="G339" s="92"/>
      <c r="H339" s="90">
        <v>2040216</v>
      </c>
      <c r="I339" s="90" t="s">
        <v>64</v>
      </c>
      <c r="J339" s="143">
        <v>7071</v>
      </c>
      <c r="K339" s="143"/>
      <c r="L339" s="87">
        <v>6986</v>
      </c>
      <c r="M339" s="92" t="str">
        <f t="shared" si="12"/>
        <v/>
      </c>
      <c r="N339" s="104">
        <v>1449</v>
      </c>
      <c r="O339" s="92">
        <f t="shared" si="13"/>
        <v>3.8212560386473431</v>
      </c>
      <c r="T339" s="97"/>
    </row>
    <row r="340" spans="1:20" ht="18" customHeight="1">
      <c r="A340" s="103"/>
      <c r="B340" s="104"/>
      <c r="C340" s="104"/>
      <c r="D340" s="104"/>
      <c r="E340" s="92"/>
      <c r="F340" s="104"/>
      <c r="G340" s="92"/>
      <c r="H340" s="90">
        <v>2040217</v>
      </c>
      <c r="I340" s="90" t="s">
        <v>65</v>
      </c>
      <c r="J340" s="143">
        <v>4684</v>
      </c>
      <c r="K340" s="143"/>
      <c r="L340" s="87">
        <v>5038</v>
      </c>
      <c r="M340" s="92" t="str">
        <f t="shared" si="12"/>
        <v/>
      </c>
      <c r="N340" s="104">
        <v>4915</v>
      </c>
      <c r="O340" s="92">
        <f t="shared" si="13"/>
        <v>2.5025432349949028E-2</v>
      </c>
      <c r="T340" s="97"/>
    </row>
    <row r="341" spans="1:20" ht="18" customHeight="1">
      <c r="A341" s="103"/>
      <c r="B341" s="104"/>
      <c r="C341" s="104"/>
      <c r="D341" s="104"/>
      <c r="E341" s="92"/>
      <c r="F341" s="104"/>
      <c r="G341" s="92"/>
      <c r="H341" s="90">
        <v>2040218</v>
      </c>
      <c r="I341" s="90" t="s">
        <v>66</v>
      </c>
      <c r="J341" s="143">
        <v>431</v>
      </c>
      <c r="K341" s="143"/>
      <c r="L341" s="87">
        <v>431</v>
      </c>
      <c r="M341" s="92" t="str">
        <f t="shared" si="12"/>
        <v/>
      </c>
      <c r="N341" s="104">
        <v>474</v>
      </c>
      <c r="O341" s="92">
        <f t="shared" si="13"/>
        <v>-9.0717299578059074E-2</v>
      </c>
      <c r="T341" s="97"/>
    </row>
    <row r="342" spans="1:20" ht="18" customHeight="1">
      <c r="A342" s="103"/>
      <c r="B342" s="104"/>
      <c r="C342" s="104"/>
      <c r="D342" s="104"/>
      <c r="E342" s="92"/>
      <c r="F342" s="104"/>
      <c r="G342" s="92"/>
      <c r="H342" s="90">
        <v>2040219</v>
      </c>
      <c r="I342" s="90" t="s">
        <v>1152</v>
      </c>
      <c r="J342" s="143">
        <v>0</v>
      </c>
      <c r="K342" s="143"/>
      <c r="L342" s="87">
        <v>0</v>
      </c>
      <c r="M342" s="92" t="str">
        <f t="shared" si="12"/>
        <v/>
      </c>
      <c r="N342" s="104">
        <v>0</v>
      </c>
      <c r="O342" s="92" t="str">
        <f t="shared" si="13"/>
        <v/>
      </c>
      <c r="T342" s="97"/>
    </row>
    <row r="343" spans="1:20" ht="18" customHeight="1">
      <c r="A343" s="103"/>
      <c r="B343" s="104"/>
      <c r="C343" s="104"/>
      <c r="D343" s="104"/>
      <c r="E343" s="92"/>
      <c r="F343" s="104"/>
      <c r="G343" s="92"/>
      <c r="H343" s="90">
        <v>2040250</v>
      </c>
      <c r="I343" s="90" t="s">
        <v>1119</v>
      </c>
      <c r="J343" s="143">
        <v>0</v>
      </c>
      <c r="K343" s="143"/>
      <c r="L343" s="87">
        <v>0</v>
      </c>
      <c r="M343" s="92" t="str">
        <f t="shared" si="12"/>
        <v/>
      </c>
      <c r="N343" s="104">
        <v>0</v>
      </c>
      <c r="O343" s="92" t="str">
        <f t="shared" si="13"/>
        <v/>
      </c>
      <c r="T343" s="97"/>
    </row>
    <row r="344" spans="1:20" ht="18" customHeight="1">
      <c r="A344" s="103"/>
      <c r="B344" s="104"/>
      <c r="C344" s="104"/>
      <c r="D344" s="104"/>
      <c r="E344" s="92"/>
      <c r="F344" s="104"/>
      <c r="G344" s="92"/>
      <c r="H344" s="90">
        <v>2040299</v>
      </c>
      <c r="I344" s="90" t="s">
        <v>67</v>
      </c>
      <c r="J344" s="143">
        <v>131346</v>
      </c>
      <c r="K344" s="143"/>
      <c r="L344" s="87">
        <v>26677</v>
      </c>
      <c r="M344" s="92" t="str">
        <f t="shared" si="12"/>
        <v/>
      </c>
      <c r="N344" s="104">
        <v>11194</v>
      </c>
      <c r="O344" s="92">
        <f t="shared" si="13"/>
        <v>1.3831516884045025</v>
      </c>
      <c r="T344" s="97"/>
    </row>
    <row r="345" spans="1:20" ht="18" hidden="1" customHeight="1">
      <c r="A345" s="103"/>
      <c r="B345" s="104"/>
      <c r="C345" s="104"/>
      <c r="D345" s="104"/>
      <c r="E345" s="92"/>
      <c r="F345" s="104"/>
      <c r="G345" s="92"/>
      <c r="H345" s="90">
        <v>20403</v>
      </c>
      <c r="I345" s="80" t="s">
        <v>68</v>
      </c>
      <c r="J345" s="143">
        <v>14958</v>
      </c>
      <c r="K345" s="647">
        <v>18490</v>
      </c>
      <c r="L345" s="87">
        <v>18490</v>
      </c>
      <c r="M345" s="92">
        <f t="shared" si="12"/>
        <v>1</v>
      </c>
      <c r="N345" s="104">
        <v>14266</v>
      </c>
      <c r="O345" s="92">
        <f t="shared" si="13"/>
        <v>0.2960886022711342</v>
      </c>
      <c r="T345" s="97"/>
    </row>
    <row r="346" spans="1:20" ht="18" hidden="1" customHeight="1">
      <c r="A346" s="103"/>
      <c r="B346" s="104"/>
      <c r="C346" s="104"/>
      <c r="D346" s="104"/>
      <c r="E346" s="92"/>
      <c r="F346" s="104"/>
      <c r="G346" s="92"/>
      <c r="H346" s="90">
        <v>2040301</v>
      </c>
      <c r="I346" s="90" t="s">
        <v>1110</v>
      </c>
      <c r="J346" s="143">
        <v>12014</v>
      </c>
      <c r="K346" s="143"/>
      <c r="L346" s="87">
        <v>14116</v>
      </c>
      <c r="M346" s="92" t="str">
        <f t="shared" si="12"/>
        <v/>
      </c>
      <c r="N346" s="104">
        <v>10549</v>
      </c>
      <c r="O346" s="92">
        <f t="shared" si="13"/>
        <v>0.33813631623850604</v>
      </c>
      <c r="T346" s="97"/>
    </row>
    <row r="347" spans="1:20" ht="18" hidden="1" customHeight="1">
      <c r="A347" s="103"/>
      <c r="B347" s="104"/>
      <c r="C347" s="104"/>
      <c r="D347" s="104"/>
      <c r="E347" s="92"/>
      <c r="F347" s="104"/>
      <c r="G347" s="92"/>
      <c r="H347" s="90">
        <v>2040302</v>
      </c>
      <c r="I347" s="90" t="s">
        <v>1111</v>
      </c>
      <c r="J347" s="143">
        <v>0</v>
      </c>
      <c r="K347" s="143"/>
      <c r="L347" s="87">
        <v>0</v>
      </c>
      <c r="M347" s="92" t="str">
        <f t="shared" si="12"/>
        <v/>
      </c>
      <c r="N347" s="104">
        <v>0</v>
      </c>
      <c r="O347" s="92" t="str">
        <f t="shared" si="13"/>
        <v/>
      </c>
      <c r="T347" s="97"/>
    </row>
    <row r="348" spans="1:20" ht="18" hidden="1" customHeight="1">
      <c r="A348" s="103"/>
      <c r="B348" s="104"/>
      <c r="C348" s="104"/>
      <c r="D348" s="104"/>
      <c r="E348" s="92"/>
      <c r="F348" s="104"/>
      <c r="G348" s="92"/>
      <c r="H348" s="90">
        <v>2040303</v>
      </c>
      <c r="I348" s="90" t="s">
        <v>1112</v>
      </c>
      <c r="J348" s="143">
        <v>0</v>
      </c>
      <c r="K348" s="143"/>
      <c r="L348" s="87">
        <v>0</v>
      </c>
      <c r="M348" s="92" t="str">
        <f t="shared" si="12"/>
        <v/>
      </c>
      <c r="N348" s="104">
        <v>0</v>
      </c>
      <c r="O348" s="92" t="str">
        <f t="shared" si="13"/>
        <v/>
      </c>
      <c r="T348" s="97"/>
    </row>
    <row r="349" spans="1:20" ht="18" hidden="1" customHeight="1">
      <c r="A349" s="103"/>
      <c r="B349" s="104"/>
      <c r="C349" s="104"/>
      <c r="D349" s="104"/>
      <c r="E349" s="92"/>
      <c r="F349" s="104"/>
      <c r="G349" s="92"/>
      <c r="H349" s="90">
        <v>2040304</v>
      </c>
      <c r="I349" s="90" t="s">
        <v>69</v>
      </c>
      <c r="J349" s="143">
        <v>1710</v>
      </c>
      <c r="K349" s="143"/>
      <c r="L349" s="87">
        <v>1710</v>
      </c>
      <c r="M349" s="92" t="str">
        <f t="shared" si="12"/>
        <v/>
      </c>
      <c r="N349" s="104">
        <v>1270</v>
      </c>
      <c r="O349" s="92">
        <f t="shared" si="13"/>
        <v>0.34645669291338588</v>
      </c>
      <c r="T349" s="97"/>
    </row>
    <row r="350" spans="1:20" ht="18" hidden="1" customHeight="1">
      <c r="A350" s="103"/>
      <c r="B350" s="104"/>
      <c r="C350" s="104"/>
      <c r="D350" s="104"/>
      <c r="E350" s="92"/>
      <c r="F350" s="104"/>
      <c r="G350" s="92"/>
      <c r="H350" s="90">
        <v>2040350</v>
      </c>
      <c r="I350" s="90" t="s">
        <v>1119</v>
      </c>
      <c r="J350" s="143">
        <v>0</v>
      </c>
      <c r="K350" s="143"/>
      <c r="L350" s="87">
        <v>0</v>
      </c>
      <c r="M350" s="92" t="str">
        <f t="shared" si="12"/>
        <v/>
      </c>
      <c r="N350" s="104">
        <v>0</v>
      </c>
      <c r="O350" s="92" t="str">
        <f t="shared" si="13"/>
        <v/>
      </c>
      <c r="T350" s="97"/>
    </row>
    <row r="351" spans="1:20" ht="18" hidden="1" customHeight="1">
      <c r="A351" s="103"/>
      <c r="B351" s="104"/>
      <c r="C351" s="104"/>
      <c r="D351" s="104"/>
      <c r="E351" s="92"/>
      <c r="F351" s="104"/>
      <c r="G351" s="92"/>
      <c r="H351" s="90">
        <v>2040399</v>
      </c>
      <c r="I351" s="90" t="s">
        <v>70</v>
      </c>
      <c r="J351" s="143">
        <v>1234</v>
      </c>
      <c r="K351" s="143"/>
      <c r="L351" s="87">
        <v>2664</v>
      </c>
      <c r="M351" s="92" t="str">
        <f t="shared" si="12"/>
        <v/>
      </c>
      <c r="N351" s="104">
        <v>2447</v>
      </c>
      <c r="O351" s="92">
        <f t="shared" si="13"/>
        <v>8.8680016346546875E-2</v>
      </c>
      <c r="T351" s="97"/>
    </row>
    <row r="352" spans="1:20" ht="18" customHeight="1">
      <c r="A352" s="103"/>
      <c r="B352" s="104"/>
      <c r="C352" s="104"/>
      <c r="D352" s="104"/>
      <c r="E352" s="92"/>
      <c r="F352" s="104"/>
      <c r="G352" s="92"/>
      <c r="H352" s="90">
        <v>20404</v>
      </c>
      <c r="I352" s="80" t="s">
        <v>71</v>
      </c>
      <c r="J352" s="143">
        <v>46625</v>
      </c>
      <c r="K352" s="647">
        <v>33469</v>
      </c>
      <c r="L352" s="87">
        <v>33469</v>
      </c>
      <c r="M352" s="92">
        <f t="shared" si="12"/>
        <v>1</v>
      </c>
      <c r="N352" s="104">
        <v>16029</v>
      </c>
      <c r="O352" s="92">
        <f t="shared" si="13"/>
        <v>1.0880279493418179</v>
      </c>
      <c r="T352" s="97"/>
    </row>
    <row r="353" spans="1:20" ht="18" customHeight="1">
      <c r="A353" s="103"/>
      <c r="B353" s="104"/>
      <c r="C353" s="104"/>
      <c r="D353" s="104"/>
      <c r="E353" s="92"/>
      <c r="F353" s="104"/>
      <c r="G353" s="92"/>
      <c r="H353" s="90">
        <v>2040401</v>
      </c>
      <c r="I353" s="90" t="s">
        <v>1110</v>
      </c>
      <c r="J353" s="143">
        <v>12504</v>
      </c>
      <c r="K353" s="143"/>
      <c r="L353" s="87">
        <v>20734</v>
      </c>
      <c r="M353" s="92" t="str">
        <f t="shared" si="12"/>
        <v/>
      </c>
      <c r="N353" s="104">
        <v>11936</v>
      </c>
      <c r="O353" s="92">
        <f t="shared" si="13"/>
        <v>0.73709785522788196</v>
      </c>
      <c r="T353" s="97"/>
    </row>
    <row r="354" spans="1:20" ht="18" customHeight="1">
      <c r="A354" s="103"/>
      <c r="B354" s="104"/>
      <c r="C354" s="104"/>
      <c r="D354" s="104"/>
      <c r="E354" s="92"/>
      <c r="F354" s="104"/>
      <c r="G354" s="92"/>
      <c r="H354" s="90">
        <v>2040402</v>
      </c>
      <c r="I354" s="90" t="s">
        <v>1111</v>
      </c>
      <c r="J354" s="143">
        <v>396</v>
      </c>
      <c r="K354" s="143"/>
      <c r="L354" s="87">
        <v>3155</v>
      </c>
      <c r="M354" s="92" t="str">
        <f t="shared" si="12"/>
        <v/>
      </c>
      <c r="N354" s="104">
        <v>467</v>
      </c>
      <c r="O354" s="92">
        <f t="shared" si="13"/>
        <v>5.7558886509635974</v>
      </c>
      <c r="T354" s="97"/>
    </row>
    <row r="355" spans="1:20" ht="18" customHeight="1">
      <c r="A355" s="103"/>
      <c r="B355" s="104"/>
      <c r="C355" s="104"/>
      <c r="D355" s="104"/>
      <c r="E355" s="92"/>
      <c r="F355" s="104"/>
      <c r="G355" s="92"/>
      <c r="H355" s="90">
        <v>2040403</v>
      </c>
      <c r="I355" s="90" t="s">
        <v>1112</v>
      </c>
      <c r="J355" s="143">
        <v>420</v>
      </c>
      <c r="K355" s="143"/>
      <c r="L355" s="87">
        <v>408</v>
      </c>
      <c r="M355" s="92" t="str">
        <f t="shared" si="12"/>
        <v/>
      </c>
      <c r="N355" s="104">
        <v>360</v>
      </c>
      <c r="O355" s="92">
        <f t="shared" si="13"/>
        <v>0.1333333333333333</v>
      </c>
      <c r="T355" s="97"/>
    </row>
    <row r="356" spans="1:20" ht="18" customHeight="1">
      <c r="A356" s="103"/>
      <c r="B356" s="104"/>
      <c r="C356" s="104"/>
      <c r="D356" s="104"/>
      <c r="E356" s="92"/>
      <c r="F356" s="104"/>
      <c r="G356" s="92"/>
      <c r="H356" s="90">
        <v>2040404</v>
      </c>
      <c r="I356" s="90" t="s">
        <v>72</v>
      </c>
      <c r="J356" s="143">
        <v>1476</v>
      </c>
      <c r="K356" s="143"/>
      <c r="L356" s="87">
        <v>1853</v>
      </c>
      <c r="M356" s="92" t="str">
        <f t="shared" si="12"/>
        <v/>
      </c>
      <c r="N356" s="104">
        <v>965</v>
      </c>
      <c r="O356" s="92">
        <f t="shared" si="13"/>
        <v>0.92020725388601043</v>
      </c>
      <c r="T356" s="97"/>
    </row>
    <row r="357" spans="1:20" ht="18" customHeight="1">
      <c r="A357" s="103"/>
      <c r="B357" s="104"/>
      <c r="C357" s="104"/>
      <c r="D357" s="104"/>
      <c r="E357" s="92"/>
      <c r="F357" s="104"/>
      <c r="G357" s="92"/>
      <c r="H357" s="90">
        <v>2040405</v>
      </c>
      <c r="I357" s="90" t="s">
        <v>73</v>
      </c>
      <c r="J357" s="143">
        <v>461</v>
      </c>
      <c r="K357" s="143"/>
      <c r="L357" s="87">
        <v>1852</v>
      </c>
      <c r="M357" s="92" t="str">
        <f t="shared" si="12"/>
        <v/>
      </c>
      <c r="N357" s="104">
        <v>125</v>
      </c>
      <c r="O357" s="92">
        <f t="shared" si="13"/>
        <v>13.816000000000001</v>
      </c>
      <c r="T357" s="97"/>
    </row>
    <row r="358" spans="1:20" ht="18" customHeight="1">
      <c r="A358" s="103"/>
      <c r="B358" s="104"/>
      <c r="C358" s="104"/>
      <c r="D358" s="104"/>
      <c r="E358" s="92"/>
      <c r="F358" s="104"/>
      <c r="G358" s="92"/>
      <c r="H358" s="90">
        <v>2040406</v>
      </c>
      <c r="I358" s="90" t="s">
        <v>74</v>
      </c>
      <c r="J358" s="143">
        <v>117</v>
      </c>
      <c r="K358" s="143"/>
      <c r="L358" s="87">
        <v>204</v>
      </c>
      <c r="M358" s="92" t="str">
        <f t="shared" si="12"/>
        <v/>
      </c>
      <c r="N358" s="104">
        <v>47</v>
      </c>
      <c r="O358" s="92">
        <f t="shared" si="13"/>
        <v>3.3404255319148932</v>
      </c>
      <c r="T358" s="97"/>
    </row>
    <row r="359" spans="1:20" ht="18" customHeight="1">
      <c r="A359" s="103"/>
      <c r="B359" s="104"/>
      <c r="C359" s="104"/>
      <c r="D359" s="104"/>
      <c r="E359" s="92"/>
      <c r="F359" s="104"/>
      <c r="G359" s="92"/>
      <c r="H359" s="90">
        <v>2040407</v>
      </c>
      <c r="I359" s="90" t="s">
        <v>75</v>
      </c>
      <c r="J359" s="143">
        <v>77</v>
      </c>
      <c r="K359" s="143"/>
      <c r="L359" s="87">
        <v>137</v>
      </c>
      <c r="M359" s="92" t="str">
        <f t="shared" si="12"/>
        <v/>
      </c>
      <c r="N359" s="104">
        <v>17</v>
      </c>
      <c r="O359" s="92">
        <f t="shared" si="13"/>
        <v>7.0588235294117645</v>
      </c>
      <c r="T359" s="97"/>
    </row>
    <row r="360" spans="1:20" ht="18" customHeight="1">
      <c r="A360" s="103"/>
      <c r="B360" s="104"/>
      <c r="C360" s="104"/>
      <c r="D360" s="104"/>
      <c r="E360" s="92"/>
      <c r="F360" s="104"/>
      <c r="G360" s="92"/>
      <c r="H360" s="90">
        <v>2040408</v>
      </c>
      <c r="I360" s="90" t="s">
        <v>76</v>
      </c>
      <c r="J360" s="143">
        <v>90</v>
      </c>
      <c r="K360" s="143"/>
      <c r="L360" s="87">
        <v>101</v>
      </c>
      <c r="M360" s="92" t="str">
        <f t="shared" si="12"/>
        <v/>
      </c>
      <c r="N360" s="104">
        <v>10</v>
      </c>
      <c r="O360" s="92">
        <f t="shared" si="13"/>
        <v>9.1</v>
      </c>
      <c r="T360" s="97"/>
    </row>
    <row r="361" spans="1:20" ht="18" customHeight="1">
      <c r="A361" s="103"/>
      <c r="B361" s="104"/>
      <c r="C361" s="104"/>
      <c r="D361" s="104"/>
      <c r="E361" s="92"/>
      <c r="F361" s="104"/>
      <c r="G361" s="92"/>
      <c r="H361" s="90">
        <v>2040409</v>
      </c>
      <c r="I361" s="90" t="s">
        <v>77</v>
      </c>
      <c r="J361" s="143">
        <v>231</v>
      </c>
      <c r="K361" s="143"/>
      <c r="L361" s="87">
        <v>412</v>
      </c>
      <c r="M361" s="92" t="str">
        <f t="shared" si="12"/>
        <v/>
      </c>
      <c r="N361" s="104">
        <v>234</v>
      </c>
      <c r="O361" s="92">
        <f t="shared" si="13"/>
        <v>0.76068376068376065</v>
      </c>
      <c r="T361" s="97"/>
    </row>
    <row r="362" spans="1:20" ht="18" customHeight="1">
      <c r="A362" s="103"/>
      <c r="B362" s="104"/>
      <c r="C362" s="104"/>
      <c r="D362" s="104"/>
      <c r="E362" s="92"/>
      <c r="F362" s="104"/>
      <c r="G362" s="92"/>
      <c r="H362" s="90">
        <v>2040450</v>
      </c>
      <c r="I362" s="90" t="s">
        <v>1119</v>
      </c>
      <c r="J362" s="143">
        <v>0</v>
      </c>
      <c r="K362" s="143"/>
      <c r="L362" s="87">
        <v>0</v>
      </c>
      <c r="M362" s="92" t="str">
        <f t="shared" si="12"/>
        <v/>
      </c>
      <c r="N362" s="104">
        <v>0</v>
      </c>
      <c r="O362" s="92" t="str">
        <f t="shared" si="13"/>
        <v/>
      </c>
      <c r="T362" s="97"/>
    </row>
    <row r="363" spans="1:20" ht="18" customHeight="1">
      <c r="A363" s="103"/>
      <c r="B363" s="104"/>
      <c r="C363" s="104"/>
      <c r="D363" s="104"/>
      <c r="E363" s="92"/>
      <c r="F363" s="104"/>
      <c r="G363" s="92"/>
      <c r="H363" s="90">
        <v>2040499</v>
      </c>
      <c r="I363" s="90" t="s">
        <v>78</v>
      </c>
      <c r="J363" s="143">
        <v>30853</v>
      </c>
      <c r="K363" s="143"/>
      <c r="L363" s="87">
        <v>4613</v>
      </c>
      <c r="M363" s="92" t="str">
        <f t="shared" si="12"/>
        <v/>
      </c>
      <c r="N363" s="104">
        <v>1868</v>
      </c>
      <c r="O363" s="92">
        <f t="shared" si="13"/>
        <v>1.4694860813704498</v>
      </c>
      <c r="T363" s="97"/>
    </row>
    <row r="364" spans="1:20" ht="18" customHeight="1">
      <c r="A364" s="103"/>
      <c r="B364" s="104"/>
      <c r="C364" s="104"/>
      <c r="D364" s="104"/>
      <c r="E364" s="92"/>
      <c r="F364" s="104"/>
      <c r="G364" s="92"/>
      <c r="H364" s="90">
        <v>20405</v>
      </c>
      <c r="I364" s="80" t="s">
        <v>79</v>
      </c>
      <c r="J364" s="143">
        <v>70187</v>
      </c>
      <c r="K364" s="647">
        <v>47738</v>
      </c>
      <c r="L364" s="87">
        <v>47738</v>
      </c>
      <c r="M364" s="92">
        <f t="shared" si="12"/>
        <v>1</v>
      </c>
      <c r="N364" s="104">
        <v>22180</v>
      </c>
      <c r="O364" s="92">
        <f t="shared" si="13"/>
        <v>1.1522993688007213</v>
      </c>
      <c r="T364" s="97"/>
    </row>
    <row r="365" spans="1:20" ht="18" customHeight="1">
      <c r="A365" s="103"/>
      <c r="B365" s="104"/>
      <c r="C365" s="104"/>
      <c r="D365" s="104"/>
      <c r="E365" s="92"/>
      <c r="F365" s="104"/>
      <c r="G365" s="92"/>
      <c r="H365" s="90">
        <v>2040501</v>
      </c>
      <c r="I365" s="90" t="s">
        <v>1110</v>
      </c>
      <c r="J365" s="143">
        <v>16695</v>
      </c>
      <c r="K365" s="143"/>
      <c r="L365" s="87">
        <v>26869</v>
      </c>
      <c r="M365" s="92" t="str">
        <f t="shared" si="12"/>
        <v/>
      </c>
      <c r="N365" s="104">
        <v>14891</v>
      </c>
      <c r="O365" s="92">
        <f t="shared" si="13"/>
        <v>0.80437848364784093</v>
      </c>
      <c r="T365" s="97"/>
    </row>
    <row r="366" spans="1:20" ht="18" customHeight="1">
      <c r="A366" s="103"/>
      <c r="B366" s="104"/>
      <c r="C366" s="104"/>
      <c r="D366" s="104"/>
      <c r="E366" s="92"/>
      <c r="F366" s="104"/>
      <c r="G366" s="92"/>
      <c r="H366" s="90">
        <v>2040502</v>
      </c>
      <c r="I366" s="90" t="s">
        <v>1111</v>
      </c>
      <c r="J366" s="143">
        <v>694</v>
      </c>
      <c r="K366" s="143"/>
      <c r="L366" s="87">
        <v>5434</v>
      </c>
      <c r="M366" s="92" t="str">
        <f t="shared" si="12"/>
        <v/>
      </c>
      <c r="N366" s="104">
        <v>134</v>
      </c>
      <c r="O366" s="92">
        <f t="shared" si="13"/>
        <v>39.552238805970148</v>
      </c>
      <c r="T366" s="97"/>
    </row>
    <row r="367" spans="1:20" ht="18" customHeight="1">
      <c r="A367" s="103"/>
      <c r="B367" s="104"/>
      <c r="C367" s="104"/>
      <c r="D367" s="104"/>
      <c r="E367" s="92"/>
      <c r="F367" s="104"/>
      <c r="G367" s="92"/>
      <c r="H367" s="90">
        <v>2040503</v>
      </c>
      <c r="I367" s="90" t="s">
        <v>1112</v>
      </c>
      <c r="J367" s="143">
        <v>1791</v>
      </c>
      <c r="K367" s="143"/>
      <c r="L367" s="87">
        <v>1791</v>
      </c>
      <c r="M367" s="92" t="str">
        <f t="shared" si="12"/>
        <v/>
      </c>
      <c r="N367" s="104">
        <v>1704</v>
      </c>
      <c r="O367" s="92">
        <f t="shared" si="13"/>
        <v>5.1056338028169002E-2</v>
      </c>
      <c r="T367" s="97"/>
    </row>
    <row r="368" spans="1:20" ht="18" customHeight="1">
      <c r="A368" s="103"/>
      <c r="B368" s="104"/>
      <c r="C368" s="104"/>
      <c r="D368" s="104"/>
      <c r="E368" s="92"/>
      <c r="F368" s="104"/>
      <c r="G368" s="92"/>
      <c r="H368" s="90">
        <v>2040504</v>
      </c>
      <c r="I368" s="90" t="s">
        <v>80</v>
      </c>
      <c r="J368" s="143">
        <v>2835</v>
      </c>
      <c r="K368" s="143"/>
      <c r="L368" s="87">
        <v>4151</v>
      </c>
      <c r="M368" s="92" t="str">
        <f t="shared" si="12"/>
        <v/>
      </c>
      <c r="N368" s="104">
        <v>2404</v>
      </c>
      <c r="O368" s="92">
        <f t="shared" si="13"/>
        <v>0.72670549084858571</v>
      </c>
      <c r="T368" s="97"/>
    </row>
    <row r="369" spans="1:20" ht="18" customHeight="1">
      <c r="A369" s="103"/>
      <c r="B369" s="104"/>
      <c r="C369" s="104"/>
      <c r="D369" s="104"/>
      <c r="E369" s="92"/>
      <c r="F369" s="104"/>
      <c r="G369" s="92"/>
      <c r="H369" s="90">
        <v>2040505</v>
      </c>
      <c r="I369" s="90" t="s">
        <v>81</v>
      </c>
      <c r="J369" s="143">
        <v>2149</v>
      </c>
      <c r="K369" s="143"/>
      <c r="L369" s="87">
        <v>2637</v>
      </c>
      <c r="M369" s="92" t="str">
        <f t="shared" si="12"/>
        <v/>
      </c>
      <c r="N369" s="104">
        <v>1122</v>
      </c>
      <c r="O369" s="92">
        <f t="shared" si="13"/>
        <v>1.3502673796791442</v>
      </c>
      <c r="T369" s="97"/>
    </row>
    <row r="370" spans="1:20" ht="18" customHeight="1">
      <c r="A370" s="103"/>
      <c r="B370" s="104"/>
      <c r="C370" s="104"/>
      <c r="D370" s="104"/>
      <c r="E370" s="92"/>
      <c r="F370" s="104"/>
      <c r="G370" s="92"/>
      <c r="H370" s="90">
        <v>2040506</v>
      </c>
      <c r="I370" s="90" t="s">
        <v>82</v>
      </c>
      <c r="J370" s="143">
        <v>5963</v>
      </c>
      <c r="K370" s="143"/>
      <c r="L370" s="87">
        <v>2859</v>
      </c>
      <c r="M370" s="92" t="str">
        <f t="shared" si="12"/>
        <v/>
      </c>
      <c r="N370" s="104">
        <v>64</v>
      </c>
      <c r="O370" s="92">
        <f t="shared" si="13"/>
        <v>43.671875</v>
      </c>
      <c r="T370" s="97"/>
    </row>
    <row r="371" spans="1:20" ht="18" customHeight="1">
      <c r="A371" s="103"/>
      <c r="B371" s="104"/>
      <c r="C371" s="104"/>
      <c r="D371" s="104"/>
      <c r="E371" s="92"/>
      <c r="F371" s="104"/>
      <c r="G371" s="92"/>
      <c r="H371" s="90">
        <v>2040550</v>
      </c>
      <c r="I371" s="90" t="s">
        <v>1119</v>
      </c>
      <c r="J371" s="143">
        <v>0</v>
      </c>
      <c r="K371" s="143"/>
      <c r="L371" s="87">
        <v>0</v>
      </c>
      <c r="M371" s="92" t="str">
        <f t="shared" si="12"/>
        <v/>
      </c>
      <c r="N371" s="104">
        <v>0</v>
      </c>
      <c r="O371" s="92" t="str">
        <f t="shared" si="13"/>
        <v/>
      </c>
      <c r="T371" s="97"/>
    </row>
    <row r="372" spans="1:20" ht="18" customHeight="1">
      <c r="A372" s="103"/>
      <c r="B372" s="104"/>
      <c r="C372" s="104"/>
      <c r="D372" s="104"/>
      <c r="E372" s="92"/>
      <c r="F372" s="104"/>
      <c r="G372" s="92"/>
      <c r="H372" s="90">
        <v>2040599</v>
      </c>
      <c r="I372" s="90" t="s">
        <v>83</v>
      </c>
      <c r="J372" s="143">
        <v>40060</v>
      </c>
      <c r="K372" s="143"/>
      <c r="L372" s="87">
        <v>3997</v>
      </c>
      <c r="M372" s="92" t="str">
        <f t="shared" si="12"/>
        <v/>
      </c>
      <c r="N372" s="104">
        <v>1861</v>
      </c>
      <c r="O372" s="92">
        <f t="shared" si="13"/>
        <v>1.1477700161203654</v>
      </c>
      <c r="T372" s="97"/>
    </row>
    <row r="373" spans="1:20" ht="18" customHeight="1">
      <c r="A373" s="103"/>
      <c r="B373" s="104"/>
      <c r="C373" s="104"/>
      <c r="D373" s="104"/>
      <c r="E373" s="92"/>
      <c r="F373" s="104"/>
      <c r="G373" s="92"/>
      <c r="H373" s="90">
        <v>20406</v>
      </c>
      <c r="I373" s="80" t="s">
        <v>84</v>
      </c>
      <c r="J373" s="143">
        <v>14400</v>
      </c>
      <c r="K373" s="647">
        <v>14091</v>
      </c>
      <c r="L373" s="87">
        <v>14091</v>
      </c>
      <c r="M373" s="92">
        <f t="shared" si="12"/>
        <v>1</v>
      </c>
      <c r="N373" s="104">
        <v>11506</v>
      </c>
      <c r="O373" s="92">
        <f t="shared" si="13"/>
        <v>0.22466539196940727</v>
      </c>
      <c r="T373" s="97"/>
    </row>
    <row r="374" spans="1:20" ht="18" customHeight="1">
      <c r="A374" s="103"/>
      <c r="B374" s="104"/>
      <c r="C374" s="104"/>
      <c r="D374" s="104"/>
      <c r="E374" s="92"/>
      <c r="F374" s="104"/>
      <c r="G374" s="92"/>
      <c r="H374" s="90">
        <v>2040601</v>
      </c>
      <c r="I374" s="90" t="s">
        <v>1110</v>
      </c>
      <c r="J374" s="143">
        <v>2570</v>
      </c>
      <c r="K374" s="143"/>
      <c r="L374" s="87">
        <v>3046</v>
      </c>
      <c r="M374" s="92" t="str">
        <f t="shared" si="12"/>
        <v/>
      </c>
      <c r="N374" s="104">
        <v>2626</v>
      </c>
      <c r="O374" s="92">
        <f t="shared" si="13"/>
        <v>0.15993907083016001</v>
      </c>
      <c r="T374" s="97"/>
    </row>
    <row r="375" spans="1:20" ht="18" customHeight="1">
      <c r="A375" s="103"/>
      <c r="B375" s="104"/>
      <c r="C375" s="104"/>
      <c r="D375" s="104"/>
      <c r="E375" s="92"/>
      <c r="F375" s="104"/>
      <c r="G375" s="92"/>
      <c r="H375" s="90">
        <v>2040602</v>
      </c>
      <c r="I375" s="90" t="s">
        <v>1111</v>
      </c>
      <c r="J375" s="143">
        <v>24</v>
      </c>
      <c r="K375" s="143"/>
      <c r="L375" s="87">
        <v>46</v>
      </c>
      <c r="M375" s="92" t="str">
        <f t="shared" si="12"/>
        <v/>
      </c>
      <c r="N375" s="104">
        <v>10</v>
      </c>
      <c r="O375" s="92">
        <f t="shared" si="13"/>
        <v>3.5999999999999996</v>
      </c>
      <c r="T375" s="97"/>
    </row>
    <row r="376" spans="1:20" ht="18" customHeight="1">
      <c r="A376" s="103"/>
      <c r="B376" s="104"/>
      <c r="C376" s="104"/>
      <c r="D376" s="104"/>
      <c r="E376" s="92"/>
      <c r="F376" s="104"/>
      <c r="G376" s="92"/>
      <c r="H376" s="90">
        <v>2040603</v>
      </c>
      <c r="I376" s="90" t="s">
        <v>1112</v>
      </c>
      <c r="J376" s="143">
        <v>141</v>
      </c>
      <c r="K376" s="143"/>
      <c r="L376" s="87">
        <v>143</v>
      </c>
      <c r="M376" s="92" t="str">
        <f t="shared" si="12"/>
        <v/>
      </c>
      <c r="N376" s="104">
        <v>0</v>
      </c>
      <c r="O376" s="92" t="str">
        <f t="shared" si="13"/>
        <v/>
      </c>
      <c r="T376" s="97"/>
    </row>
    <row r="377" spans="1:20" ht="18" customHeight="1">
      <c r="A377" s="103"/>
      <c r="B377" s="104"/>
      <c r="C377" s="104"/>
      <c r="D377" s="104"/>
      <c r="E377" s="92"/>
      <c r="F377" s="104"/>
      <c r="G377" s="92"/>
      <c r="H377" s="90">
        <v>2040604</v>
      </c>
      <c r="I377" s="90" t="s">
        <v>85</v>
      </c>
      <c r="J377" s="143">
        <v>237</v>
      </c>
      <c r="K377" s="143"/>
      <c r="L377" s="87">
        <v>163</v>
      </c>
      <c r="M377" s="92" t="str">
        <f t="shared" si="12"/>
        <v/>
      </c>
      <c r="N377" s="104">
        <v>304</v>
      </c>
      <c r="O377" s="92">
        <f t="shared" si="13"/>
        <v>-0.46381578947368418</v>
      </c>
      <c r="T377" s="97"/>
    </row>
    <row r="378" spans="1:20" ht="18" customHeight="1">
      <c r="A378" s="103"/>
      <c r="B378" s="104"/>
      <c r="C378" s="104"/>
      <c r="D378" s="104"/>
      <c r="E378" s="92"/>
      <c r="F378" s="104"/>
      <c r="G378" s="92"/>
      <c r="H378" s="90">
        <v>2040605</v>
      </c>
      <c r="I378" s="90" t="s">
        <v>86</v>
      </c>
      <c r="J378" s="143">
        <v>747</v>
      </c>
      <c r="K378" s="143"/>
      <c r="L378" s="87">
        <v>744</v>
      </c>
      <c r="M378" s="92" t="str">
        <f t="shared" si="12"/>
        <v/>
      </c>
      <c r="N378" s="104">
        <v>693</v>
      </c>
      <c r="O378" s="92">
        <f t="shared" si="13"/>
        <v>7.3593073593073655E-2</v>
      </c>
      <c r="T378" s="97"/>
    </row>
    <row r="379" spans="1:20" ht="18" customHeight="1">
      <c r="A379" s="103"/>
      <c r="B379" s="104"/>
      <c r="C379" s="104"/>
      <c r="D379" s="104"/>
      <c r="E379" s="92"/>
      <c r="F379" s="104"/>
      <c r="G379" s="92"/>
      <c r="H379" s="90">
        <v>2040606</v>
      </c>
      <c r="I379" s="90" t="s">
        <v>87</v>
      </c>
      <c r="J379" s="143">
        <v>94</v>
      </c>
      <c r="K379" s="143"/>
      <c r="L379" s="87">
        <v>69</v>
      </c>
      <c r="M379" s="92" t="str">
        <f t="shared" si="12"/>
        <v/>
      </c>
      <c r="N379" s="104">
        <v>97</v>
      </c>
      <c r="O379" s="92">
        <f t="shared" si="13"/>
        <v>-0.28865979381443296</v>
      </c>
      <c r="T379" s="97"/>
    </row>
    <row r="380" spans="1:20" ht="18" customHeight="1">
      <c r="A380" s="103"/>
      <c r="B380" s="104"/>
      <c r="C380" s="104"/>
      <c r="D380" s="104"/>
      <c r="E380" s="92"/>
      <c r="F380" s="104"/>
      <c r="G380" s="92"/>
      <c r="H380" s="90">
        <v>2040607</v>
      </c>
      <c r="I380" s="90" t="s">
        <v>88</v>
      </c>
      <c r="J380" s="143">
        <v>1248</v>
      </c>
      <c r="K380" s="143"/>
      <c r="L380" s="87">
        <v>1069</v>
      </c>
      <c r="M380" s="92" t="str">
        <f t="shared" si="12"/>
        <v/>
      </c>
      <c r="N380" s="104">
        <v>1947</v>
      </c>
      <c r="O380" s="92">
        <f t="shared" si="13"/>
        <v>-0.45095017976373908</v>
      </c>
      <c r="T380" s="97"/>
    </row>
    <row r="381" spans="1:20" ht="18" customHeight="1">
      <c r="A381" s="103"/>
      <c r="B381" s="104"/>
      <c r="C381" s="104"/>
      <c r="D381" s="104"/>
      <c r="E381" s="92"/>
      <c r="F381" s="104"/>
      <c r="G381" s="92"/>
      <c r="H381" s="90">
        <v>2040608</v>
      </c>
      <c r="I381" s="90" t="s">
        <v>89</v>
      </c>
      <c r="J381" s="143">
        <v>198</v>
      </c>
      <c r="K381" s="143"/>
      <c r="L381" s="87">
        <v>198</v>
      </c>
      <c r="M381" s="92" t="str">
        <f t="shared" si="12"/>
        <v/>
      </c>
      <c r="N381" s="104">
        <v>149</v>
      </c>
      <c r="O381" s="92">
        <f t="shared" si="13"/>
        <v>0.32885906040268464</v>
      </c>
      <c r="T381" s="97"/>
    </row>
    <row r="382" spans="1:20" ht="18" customHeight="1">
      <c r="A382" s="103"/>
      <c r="B382" s="104"/>
      <c r="C382" s="104"/>
      <c r="D382" s="104"/>
      <c r="E382" s="92"/>
      <c r="F382" s="104"/>
      <c r="G382" s="92"/>
      <c r="H382" s="90">
        <v>2040609</v>
      </c>
      <c r="I382" s="90" t="s">
        <v>90</v>
      </c>
      <c r="J382" s="143">
        <v>5308</v>
      </c>
      <c r="K382" s="143"/>
      <c r="L382" s="87">
        <v>6688</v>
      </c>
      <c r="M382" s="92" t="str">
        <f t="shared" si="12"/>
        <v/>
      </c>
      <c r="N382" s="104">
        <v>5183</v>
      </c>
      <c r="O382" s="92">
        <f t="shared" si="13"/>
        <v>0.29037237121358284</v>
      </c>
      <c r="T382" s="97"/>
    </row>
    <row r="383" spans="1:20" ht="18" customHeight="1">
      <c r="A383" s="103"/>
      <c r="B383" s="104"/>
      <c r="C383" s="104"/>
      <c r="D383" s="104"/>
      <c r="E383" s="92"/>
      <c r="F383" s="104"/>
      <c r="G383" s="92"/>
      <c r="H383" s="90">
        <v>2040650</v>
      </c>
      <c r="I383" s="90" t="s">
        <v>1119</v>
      </c>
      <c r="J383" s="143">
        <v>0</v>
      </c>
      <c r="K383" s="143"/>
      <c r="L383" s="87">
        <v>0</v>
      </c>
      <c r="M383" s="92" t="str">
        <f t="shared" si="12"/>
        <v/>
      </c>
      <c r="N383" s="104">
        <v>0</v>
      </c>
      <c r="O383" s="92" t="str">
        <f t="shared" si="13"/>
        <v/>
      </c>
      <c r="T383" s="97"/>
    </row>
    <row r="384" spans="1:20" ht="18" customHeight="1">
      <c r="A384" s="103"/>
      <c r="B384" s="104"/>
      <c r="C384" s="104"/>
      <c r="D384" s="104"/>
      <c r="E384" s="92"/>
      <c r="F384" s="104"/>
      <c r="G384" s="92"/>
      <c r="H384" s="90">
        <v>2040699</v>
      </c>
      <c r="I384" s="90" t="s">
        <v>91</v>
      </c>
      <c r="J384" s="143">
        <v>3833</v>
      </c>
      <c r="K384" s="143"/>
      <c r="L384" s="87">
        <v>1925</v>
      </c>
      <c r="M384" s="92" t="str">
        <f t="shared" si="12"/>
        <v/>
      </c>
      <c r="N384" s="104">
        <v>497</v>
      </c>
      <c r="O384" s="92">
        <f t="shared" si="13"/>
        <v>2.8732394366197185</v>
      </c>
      <c r="T384" s="97"/>
    </row>
    <row r="385" spans="1:20" ht="18" customHeight="1">
      <c r="A385" s="103"/>
      <c r="B385" s="104"/>
      <c r="C385" s="104"/>
      <c r="D385" s="104"/>
      <c r="E385" s="92"/>
      <c r="F385" s="104"/>
      <c r="G385" s="92"/>
      <c r="H385" s="90">
        <v>20407</v>
      </c>
      <c r="I385" s="80" t="s">
        <v>92</v>
      </c>
      <c r="J385" s="143">
        <v>19222</v>
      </c>
      <c r="K385" s="647">
        <v>23431</v>
      </c>
      <c r="L385" s="87">
        <v>23431</v>
      </c>
      <c r="M385" s="92">
        <f t="shared" si="12"/>
        <v>1</v>
      </c>
      <c r="N385" s="104">
        <v>20046</v>
      </c>
      <c r="O385" s="92">
        <f t="shared" si="13"/>
        <v>0.16886161827796076</v>
      </c>
      <c r="T385" s="97"/>
    </row>
    <row r="386" spans="1:20" ht="18" customHeight="1">
      <c r="A386" s="103"/>
      <c r="B386" s="104"/>
      <c r="C386" s="104"/>
      <c r="D386" s="104"/>
      <c r="E386" s="92"/>
      <c r="F386" s="104"/>
      <c r="G386" s="92"/>
      <c r="H386" s="90">
        <v>2040701</v>
      </c>
      <c r="I386" s="90" t="s">
        <v>1110</v>
      </c>
      <c r="J386" s="143">
        <v>15065</v>
      </c>
      <c r="K386" s="143"/>
      <c r="L386" s="87">
        <v>17185</v>
      </c>
      <c r="M386" s="92" t="str">
        <f t="shared" si="12"/>
        <v/>
      </c>
      <c r="N386" s="104">
        <v>14562</v>
      </c>
      <c r="O386" s="92">
        <f t="shared" si="13"/>
        <v>0.18012635626974327</v>
      </c>
      <c r="P386" s="75" t="s">
        <v>92</v>
      </c>
      <c r="Q386" s="63">
        <v>17905</v>
      </c>
      <c r="R386" s="63">
        <v>20046</v>
      </c>
      <c r="S386" s="63">
        <v>20046</v>
      </c>
      <c r="T386" s="97"/>
    </row>
    <row r="387" spans="1:20" ht="18" customHeight="1">
      <c r="A387" s="103"/>
      <c r="B387" s="104"/>
      <c r="C387" s="104"/>
      <c r="D387" s="104"/>
      <c r="E387" s="92"/>
      <c r="F387" s="104"/>
      <c r="G387" s="92"/>
      <c r="H387" s="90">
        <v>2040702</v>
      </c>
      <c r="I387" s="90" t="s">
        <v>1111</v>
      </c>
      <c r="J387" s="143">
        <v>4</v>
      </c>
      <c r="K387" s="143"/>
      <c r="L387" s="87">
        <v>2</v>
      </c>
      <c r="M387" s="92" t="str">
        <f t="shared" si="12"/>
        <v/>
      </c>
      <c r="N387" s="104">
        <v>259</v>
      </c>
      <c r="O387" s="92">
        <f t="shared" si="13"/>
        <v>-0.99227799227799229</v>
      </c>
      <c r="P387" s="75" t="s">
        <v>97</v>
      </c>
      <c r="Q387" s="63">
        <v>12924</v>
      </c>
      <c r="R387" s="63">
        <v>14277</v>
      </c>
      <c r="S387" s="63">
        <v>14277</v>
      </c>
      <c r="T387" s="97"/>
    </row>
    <row r="388" spans="1:20" ht="18" customHeight="1">
      <c r="A388" s="103"/>
      <c r="B388" s="104"/>
      <c r="C388" s="104"/>
      <c r="D388" s="104"/>
      <c r="E388" s="92"/>
      <c r="F388" s="104"/>
      <c r="G388" s="92"/>
      <c r="H388" s="90">
        <v>2040703</v>
      </c>
      <c r="I388" s="90" t="s">
        <v>1112</v>
      </c>
      <c r="J388" s="143">
        <v>463</v>
      </c>
      <c r="K388" s="143"/>
      <c r="L388" s="87">
        <v>463</v>
      </c>
      <c r="M388" s="92" t="str">
        <f t="shared" si="12"/>
        <v/>
      </c>
      <c r="N388" s="104">
        <v>471</v>
      </c>
      <c r="O388" s="92">
        <f t="shared" si="13"/>
        <v>-1.6985138004246281E-2</v>
      </c>
      <c r="P388" s="75" t="s">
        <v>102</v>
      </c>
      <c r="Q388" s="63">
        <v>0</v>
      </c>
      <c r="R388" s="63">
        <v>0</v>
      </c>
      <c r="S388" s="63">
        <v>0</v>
      </c>
      <c r="T388" s="97"/>
    </row>
    <row r="389" spans="1:20" ht="18" customHeight="1">
      <c r="A389" s="103"/>
      <c r="B389" s="104"/>
      <c r="C389" s="104"/>
      <c r="D389" s="104"/>
      <c r="E389" s="92"/>
      <c r="F389" s="104"/>
      <c r="G389" s="92"/>
      <c r="H389" s="90">
        <v>2040704</v>
      </c>
      <c r="I389" s="90" t="s">
        <v>93</v>
      </c>
      <c r="J389" s="143">
        <v>2753</v>
      </c>
      <c r="K389" s="143"/>
      <c r="L389" s="87">
        <v>2654</v>
      </c>
      <c r="M389" s="92" t="str">
        <f t="shared" si="12"/>
        <v/>
      </c>
      <c r="N389" s="104">
        <v>2578</v>
      </c>
      <c r="O389" s="92">
        <f t="shared" si="13"/>
        <v>2.9480217222653149E-2</v>
      </c>
      <c r="P389" s="75" t="s">
        <v>106</v>
      </c>
      <c r="Q389" s="63">
        <v>0</v>
      </c>
      <c r="R389" s="63">
        <v>0</v>
      </c>
      <c r="S389" s="63">
        <v>0</v>
      </c>
      <c r="T389" s="97"/>
    </row>
    <row r="390" spans="1:20" ht="18" customHeight="1">
      <c r="A390" s="103"/>
      <c r="B390" s="104"/>
      <c r="C390" s="104"/>
      <c r="D390" s="104"/>
      <c r="E390" s="92"/>
      <c r="F390" s="104"/>
      <c r="G390" s="92"/>
      <c r="H390" s="90">
        <v>2040705</v>
      </c>
      <c r="I390" s="90" t="s">
        <v>94</v>
      </c>
      <c r="J390" s="143">
        <v>0</v>
      </c>
      <c r="K390" s="143"/>
      <c r="L390" s="87">
        <v>0</v>
      </c>
      <c r="M390" s="92" t="str">
        <f t="shared" ref="M390:M453" si="14">+IF(ISERROR(L390/K390),"",L390/K390)</f>
        <v/>
      </c>
      <c r="N390" s="104">
        <v>0</v>
      </c>
      <c r="O390" s="92" t="str">
        <f t="shared" si="13"/>
        <v/>
      </c>
      <c r="P390" s="75" t="s">
        <v>1021</v>
      </c>
      <c r="Q390" s="63">
        <v>93021</v>
      </c>
      <c r="R390" s="63">
        <v>64533</v>
      </c>
      <c r="S390" s="63">
        <v>64453</v>
      </c>
      <c r="T390" s="97"/>
    </row>
    <row r="391" spans="1:20" ht="18" customHeight="1">
      <c r="A391" s="103"/>
      <c r="B391" s="104"/>
      <c r="C391" s="104"/>
      <c r="D391" s="104"/>
      <c r="E391" s="92"/>
      <c r="F391" s="104"/>
      <c r="G391" s="92"/>
      <c r="H391" s="90">
        <v>2040706</v>
      </c>
      <c r="I391" s="90" t="s">
        <v>95</v>
      </c>
      <c r="J391" s="143">
        <v>391</v>
      </c>
      <c r="K391" s="143"/>
      <c r="L391" s="87">
        <v>626</v>
      </c>
      <c r="M391" s="92" t="str">
        <f t="shared" si="14"/>
        <v/>
      </c>
      <c r="N391" s="104">
        <v>327</v>
      </c>
      <c r="O391" s="92">
        <f t="shared" ref="O391:O454" si="15">IF(ISERROR(L391/N391-1),"",(L391/N391-1))</f>
        <v>0.91437308868501521</v>
      </c>
      <c r="P391" s="75" t="s">
        <v>114</v>
      </c>
      <c r="Q391" s="63">
        <v>1543706</v>
      </c>
      <c r="R391" s="63">
        <v>1576488</v>
      </c>
      <c r="S391" s="63">
        <v>1556291</v>
      </c>
      <c r="T391" s="97"/>
    </row>
    <row r="392" spans="1:20" ht="18" customHeight="1">
      <c r="A392" s="103"/>
      <c r="B392" s="104"/>
      <c r="C392" s="104"/>
      <c r="D392" s="104"/>
      <c r="E392" s="92"/>
      <c r="F392" s="104"/>
      <c r="G392" s="92"/>
      <c r="H392" s="90">
        <v>2040750</v>
      </c>
      <c r="I392" s="90" t="s">
        <v>1119</v>
      </c>
      <c r="J392" s="143">
        <v>0</v>
      </c>
      <c r="K392" s="143"/>
      <c r="L392" s="87">
        <v>0</v>
      </c>
      <c r="M392" s="92" t="str">
        <f t="shared" si="14"/>
        <v/>
      </c>
      <c r="N392" s="104">
        <v>0</v>
      </c>
      <c r="O392" s="92" t="str">
        <f t="shared" si="15"/>
        <v/>
      </c>
      <c r="P392" s="75" t="s">
        <v>115</v>
      </c>
      <c r="Q392" s="63">
        <v>17331</v>
      </c>
      <c r="R392" s="63">
        <v>19239</v>
      </c>
      <c r="S392" s="63">
        <v>19140</v>
      </c>
      <c r="T392" s="97"/>
    </row>
    <row r="393" spans="1:20" ht="18" customHeight="1">
      <c r="A393" s="103"/>
      <c r="B393" s="104"/>
      <c r="C393" s="104"/>
      <c r="D393" s="104"/>
      <c r="E393" s="92"/>
      <c r="F393" s="104"/>
      <c r="G393" s="92"/>
      <c r="H393" s="90">
        <v>2040799</v>
      </c>
      <c r="I393" s="90" t="s">
        <v>96</v>
      </c>
      <c r="J393" s="143">
        <v>546</v>
      </c>
      <c r="K393" s="143"/>
      <c r="L393" s="87">
        <v>2501</v>
      </c>
      <c r="M393" s="92" t="str">
        <f t="shared" si="14"/>
        <v/>
      </c>
      <c r="N393" s="104">
        <v>1849</v>
      </c>
      <c r="O393" s="92">
        <f t="shared" si="15"/>
        <v>0.35262303948080054</v>
      </c>
      <c r="P393" s="75" t="s">
        <v>117</v>
      </c>
      <c r="Q393" s="63">
        <v>314365</v>
      </c>
      <c r="R393" s="63">
        <v>290542</v>
      </c>
      <c r="S393" s="63">
        <v>275405</v>
      </c>
      <c r="T393" s="97"/>
    </row>
    <row r="394" spans="1:20" ht="18" customHeight="1">
      <c r="A394" s="103"/>
      <c r="B394" s="104"/>
      <c r="C394" s="104"/>
      <c r="D394" s="104"/>
      <c r="E394" s="92"/>
      <c r="F394" s="104"/>
      <c r="G394" s="92"/>
      <c r="H394" s="90">
        <v>20408</v>
      </c>
      <c r="I394" s="80" t="s">
        <v>97</v>
      </c>
      <c r="J394" s="143">
        <v>14369</v>
      </c>
      <c r="K394" s="647">
        <v>16560</v>
      </c>
      <c r="L394" s="87">
        <v>16560</v>
      </c>
      <c r="M394" s="92">
        <f t="shared" si="14"/>
        <v>1</v>
      </c>
      <c r="N394" s="104">
        <v>14277</v>
      </c>
      <c r="O394" s="92">
        <f t="shared" si="15"/>
        <v>0.15990754360159687</v>
      </c>
      <c r="P394" s="75" t="s">
        <v>126</v>
      </c>
      <c r="Q394" s="63">
        <v>115963</v>
      </c>
      <c r="R394" s="63">
        <v>122976</v>
      </c>
      <c r="S394" s="63">
        <v>118131</v>
      </c>
      <c r="T394" s="97"/>
    </row>
    <row r="395" spans="1:20" ht="18" customHeight="1">
      <c r="A395" s="103"/>
      <c r="B395" s="104"/>
      <c r="C395" s="104"/>
      <c r="D395" s="104"/>
      <c r="E395" s="92"/>
      <c r="F395" s="104"/>
      <c r="G395" s="92"/>
      <c r="H395" s="90">
        <v>2040801</v>
      </c>
      <c r="I395" s="90" t="s">
        <v>1110</v>
      </c>
      <c r="J395" s="143">
        <v>11080</v>
      </c>
      <c r="K395" s="143"/>
      <c r="L395" s="87">
        <v>12277</v>
      </c>
      <c r="M395" s="92" t="str">
        <f t="shared" si="14"/>
        <v/>
      </c>
      <c r="N395" s="104">
        <v>10448</v>
      </c>
      <c r="O395" s="92">
        <f t="shared" si="15"/>
        <v>0.17505742725880546</v>
      </c>
      <c r="P395" s="75" t="s">
        <v>133</v>
      </c>
      <c r="Q395" s="63">
        <v>963</v>
      </c>
      <c r="R395" s="63">
        <v>934</v>
      </c>
      <c r="S395" s="63">
        <v>934</v>
      </c>
      <c r="T395" s="97"/>
    </row>
    <row r="396" spans="1:20" ht="18" customHeight="1">
      <c r="A396" s="103"/>
      <c r="B396" s="104"/>
      <c r="C396" s="104"/>
      <c r="D396" s="104"/>
      <c r="E396" s="92"/>
      <c r="F396" s="104"/>
      <c r="G396" s="92"/>
      <c r="H396" s="90">
        <v>2040802</v>
      </c>
      <c r="I396" s="90" t="s">
        <v>1111</v>
      </c>
      <c r="J396" s="143">
        <v>69</v>
      </c>
      <c r="K396" s="143"/>
      <c r="L396" s="87">
        <v>69</v>
      </c>
      <c r="M396" s="92" t="str">
        <f t="shared" si="14"/>
        <v/>
      </c>
      <c r="N396" s="104">
        <v>60</v>
      </c>
      <c r="O396" s="92">
        <f t="shared" si="15"/>
        <v>0.14999999999999991</v>
      </c>
      <c r="P396" s="75" t="s">
        <v>139</v>
      </c>
      <c r="Q396" s="63">
        <v>3052</v>
      </c>
      <c r="R396" s="63">
        <v>3424</v>
      </c>
      <c r="S396" s="63">
        <v>3379</v>
      </c>
      <c r="T396" s="97"/>
    </row>
    <row r="397" spans="1:20" ht="18" customHeight="1">
      <c r="A397" s="103"/>
      <c r="B397" s="104"/>
      <c r="C397" s="104"/>
      <c r="D397" s="104"/>
      <c r="E397" s="92"/>
      <c r="F397" s="104"/>
      <c r="G397" s="92"/>
      <c r="H397" s="90">
        <v>2040803</v>
      </c>
      <c r="I397" s="90" t="s">
        <v>1112</v>
      </c>
      <c r="J397" s="143">
        <v>325</v>
      </c>
      <c r="K397" s="143"/>
      <c r="L397" s="87">
        <v>319</v>
      </c>
      <c r="M397" s="92" t="str">
        <f t="shared" si="14"/>
        <v/>
      </c>
      <c r="N397" s="104">
        <v>339</v>
      </c>
      <c r="O397" s="92">
        <f t="shared" si="15"/>
        <v>-5.899705014749268E-2</v>
      </c>
      <c r="P397" s="75" t="s">
        <v>143</v>
      </c>
      <c r="Q397" s="63">
        <v>0</v>
      </c>
      <c r="R397" s="63">
        <v>0</v>
      </c>
      <c r="S397" s="63">
        <v>0</v>
      </c>
      <c r="T397" s="97"/>
    </row>
    <row r="398" spans="1:20" ht="18" customHeight="1">
      <c r="A398" s="103"/>
      <c r="B398" s="104"/>
      <c r="C398" s="104"/>
      <c r="D398" s="104"/>
      <c r="E398" s="92"/>
      <c r="F398" s="104"/>
      <c r="G398" s="92"/>
      <c r="H398" s="90">
        <v>2040804</v>
      </c>
      <c r="I398" s="90" t="s">
        <v>98</v>
      </c>
      <c r="J398" s="143">
        <v>1944</v>
      </c>
      <c r="K398" s="143"/>
      <c r="L398" s="87">
        <v>1827</v>
      </c>
      <c r="M398" s="92" t="str">
        <f t="shared" si="14"/>
        <v/>
      </c>
      <c r="N398" s="104">
        <v>1636</v>
      </c>
      <c r="O398" s="92">
        <f t="shared" si="15"/>
        <v>0.11674816625916873</v>
      </c>
      <c r="P398" s="75" t="s">
        <v>147</v>
      </c>
      <c r="Q398" s="63">
        <v>9795</v>
      </c>
      <c r="R398" s="63">
        <v>10419</v>
      </c>
      <c r="S398" s="63">
        <v>10419</v>
      </c>
      <c r="T398" s="97"/>
    </row>
    <row r="399" spans="1:20" ht="18" customHeight="1">
      <c r="A399" s="103"/>
      <c r="B399" s="104"/>
      <c r="C399" s="104"/>
      <c r="D399" s="104"/>
      <c r="E399" s="92"/>
      <c r="F399" s="104"/>
      <c r="G399" s="92"/>
      <c r="H399" s="90">
        <v>2040805</v>
      </c>
      <c r="I399" s="90" t="s">
        <v>99</v>
      </c>
      <c r="J399" s="143">
        <v>0</v>
      </c>
      <c r="K399" s="143"/>
      <c r="L399" s="87">
        <v>0</v>
      </c>
      <c r="M399" s="92" t="str">
        <f t="shared" si="14"/>
        <v/>
      </c>
      <c r="N399" s="104">
        <v>0</v>
      </c>
      <c r="O399" s="92" t="str">
        <f t="shared" si="15"/>
        <v/>
      </c>
      <c r="P399" s="75" t="s">
        <v>151</v>
      </c>
      <c r="Q399" s="63">
        <v>29237</v>
      </c>
      <c r="R399" s="63">
        <v>22367</v>
      </c>
      <c r="S399" s="63">
        <v>22308</v>
      </c>
      <c r="T399" s="97"/>
    </row>
    <row r="400" spans="1:20" ht="18" customHeight="1">
      <c r="A400" s="103"/>
      <c r="B400" s="104"/>
      <c r="C400" s="104"/>
      <c r="D400" s="104"/>
      <c r="E400" s="92"/>
      <c r="F400" s="104"/>
      <c r="G400" s="92"/>
      <c r="H400" s="90">
        <v>2040806</v>
      </c>
      <c r="I400" s="90" t="s">
        <v>100</v>
      </c>
      <c r="J400" s="143">
        <v>473</v>
      </c>
      <c r="K400" s="143"/>
      <c r="L400" s="87">
        <v>291</v>
      </c>
      <c r="M400" s="92" t="str">
        <f t="shared" si="14"/>
        <v/>
      </c>
      <c r="N400" s="104">
        <v>205</v>
      </c>
      <c r="O400" s="92">
        <f t="shared" si="15"/>
        <v>0.41951219512195115</v>
      </c>
      <c r="P400" s="75" t="s">
        <v>157</v>
      </c>
      <c r="Q400" s="63">
        <v>190000</v>
      </c>
      <c r="R400" s="63">
        <v>189539</v>
      </c>
      <c r="S400" s="63">
        <v>189527</v>
      </c>
      <c r="T400" s="97"/>
    </row>
    <row r="401" spans="1:20" ht="18" customHeight="1">
      <c r="A401" s="103"/>
      <c r="B401" s="104"/>
      <c r="C401" s="104"/>
      <c r="D401" s="104"/>
      <c r="E401" s="92"/>
      <c r="F401" s="104"/>
      <c r="G401" s="92"/>
      <c r="H401" s="90">
        <v>2040850</v>
      </c>
      <c r="I401" s="90" t="s">
        <v>1119</v>
      </c>
      <c r="J401" s="143">
        <v>0</v>
      </c>
      <c r="K401" s="143"/>
      <c r="L401" s="87">
        <v>0</v>
      </c>
      <c r="M401" s="92" t="str">
        <f t="shared" si="14"/>
        <v/>
      </c>
      <c r="N401" s="104">
        <v>0</v>
      </c>
      <c r="O401" s="92" t="str">
        <f t="shared" si="15"/>
        <v/>
      </c>
      <c r="P401" s="75" t="s">
        <v>1022</v>
      </c>
      <c r="Q401" s="63">
        <v>863000</v>
      </c>
      <c r="R401" s="63">
        <v>917048</v>
      </c>
      <c r="S401" s="63">
        <v>917048</v>
      </c>
      <c r="T401" s="97"/>
    </row>
    <row r="402" spans="1:20" ht="18" customHeight="1">
      <c r="A402" s="103"/>
      <c r="B402" s="104"/>
      <c r="C402" s="104"/>
      <c r="D402" s="104"/>
      <c r="E402" s="92"/>
      <c r="F402" s="104"/>
      <c r="G402" s="92"/>
      <c r="H402" s="90">
        <v>2040899</v>
      </c>
      <c r="I402" s="90" t="s">
        <v>101</v>
      </c>
      <c r="J402" s="143">
        <v>478</v>
      </c>
      <c r="K402" s="143"/>
      <c r="L402" s="87">
        <v>1777</v>
      </c>
      <c r="M402" s="92" t="str">
        <f t="shared" si="14"/>
        <v/>
      </c>
      <c r="N402" s="104">
        <v>1589</v>
      </c>
      <c r="O402" s="92">
        <f t="shared" si="15"/>
        <v>0.1183134046570169</v>
      </c>
      <c r="T402" s="97"/>
    </row>
    <row r="403" spans="1:20" ht="18" hidden="1" customHeight="1">
      <c r="A403" s="103"/>
      <c r="B403" s="104"/>
      <c r="C403" s="104"/>
      <c r="D403" s="104"/>
      <c r="E403" s="92"/>
      <c r="F403" s="104"/>
      <c r="G403" s="92"/>
      <c r="H403" s="90">
        <v>20409</v>
      </c>
      <c r="I403" s="80" t="s">
        <v>102</v>
      </c>
      <c r="J403" s="104"/>
      <c r="K403" s="104"/>
      <c r="L403" s="87"/>
      <c r="M403" s="92" t="str">
        <f t="shared" si="14"/>
        <v/>
      </c>
      <c r="N403" s="104">
        <v>0</v>
      </c>
      <c r="O403" s="92" t="str">
        <f t="shared" si="15"/>
        <v/>
      </c>
      <c r="T403" s="97"/>
    </row>
    <row r="404" spans="1:20" ht="18" hidden="1" customHeight="1">
      <c r="A404" s="103"/>
      <c r="B404" s="104"/>
      <c r="C404" s="104"/>
      <c r="D404" s="104"/>
      <c r="E404" s="92"/>
      <c r="F404" s="104"/>
      <c r="G404" s="92"/>
      <c r="H404" s="90">
        <v>2040901</v>
      </c>
      <c r="I404" s="90" t="s">
        <v>1110</v>
      </c>
      <c r="J404" s="104"/>
      <c r="K404" s="104"/>
      <c r="L404" s="104"/>
      <c r="M404" s="92" t="str">
        <f t="shared" si="14"/>
        <v/>
      </c>
      <c r="N404" s="104">
        <v>0</v>
      </c>
      <c r="O404" s="92" t="str">
        <f t="shared" si="15"/>
        <v/>
      </c>
      <c r="T404" s="97"/>
    </row>
    <row r="405" spans="1:20" ht="18" hidden="1" customHeight="1">
      <c r="A405" s="103"/>
      <c r="B405" s="104"/>
      <c r="C405" s="104"/>
      <c r="D405" s="104"/>
      <c r="E405" s="92"/>
      <c r="F405" s="104"/>
      <c r="G405" s="92"/>
      <c r="H405" s="90">
        <v>2040902</v>
      </c>
      <c r="I405" s="90" t="s">
        <v>1111</v>
      </c>
      <c r="J405" s="104"/>
      <c r="K405" s="104"/>
      <c r="L405" s="104"/>
      <c r="M405" s="92" t="str">
        <f t="shared" si="14"/>
        <v/>
      </c>
      <c r="N405" s="104">
        <v>0</v>
      </c>
      <c r="O405" s="92" t="str">
        <f t="shared" si="15"/>
        <v/>
      </c>
      <c r="T405" s="97"/>
    </row>
    <row r="406" spans="1:20" ht="18" hidden="1" customHeight="1">
      <c r="A406" s="103"/>
      <c r="B406" s="104"/>
      <c r="C406" s="104"/>
      <c r="D406" s="104"/>
      <c r="E406" s="92"/>
      <c r="F406" s="104"/>
      <c r="G406" s="92"/>
      <c r="H406" s="90">
        <v>2040903</v>
      </c>
      <c r="I406" s="90" t="s">
        <v>1112</v>
      </c>
      <c r="J406" s="104"/>
      <c r="K406" s="104"/>
      <c r="L406" s="104"/>
      <c r="M406" s="92" t="str">
        <f t="shared" si="14"/>
        <v/>
      </c>
      <c r="N406" s="104">
        <v>0</v>
      </c>
      <c r="O406" s="92" t="str">
        <f t="shared" si="15"/>
        <v/>
      </c>
      <c r="T406" s="97"/>
    </row>
    <row r="407" spans="1:20" ht="18" hidden="1" customHeight="1">
      <c r="A407" s="103"/>
      <c r="B407" s="104"/>
      <c r="C407" s="104"/>
      <c r="D407" s="104"/>
      <c r="E407" s="92"/>
      <c r="F407" s="104"/>
      <c r="G407" s="92"/>
      <c r="H407" s="90">
        <v>2040904</v>
      </c>
      <c r="I407" s="90" t="s">
        <v>103</v>
      </c>
      <c r="J407" s="104"/>
      <c r="K407" s="104"/>
      <c r="L407" s="104"/>
      <c r="M407" s="92" t="str">
        <f t="shared" si="14"/>
        <v/>
      </c>
      <c r="N407" s="104">
        <v>0</v>
      </c>
      <c r="O407" s="92" t="str">
        <f t="shared" si="15"/>
        <v/>
      </c>
      <c r="T407" s="97"/>
    </row>
    <row r="408" spans="1:20" ht="18" hidden="1" customHeight="1">
      <c r="A408" s="103"/>
      <c r="B408" s="104"/>
      <c r="C408" s="104"/>
      <c r="D408" s="104"/>
      <c r="E408" s="92"/>
      <c r="F408" s="104"/>
      <c r="G408" s="92"/>
      <c r="H408" s="90">
        <v>2040905</v>
      </c>
      <c r="I408" s="90" t="s">
        <v>104</v>
      </c>
      <c r="J408" s="104"/>
      <c r="K408" s="104"/>
      <c r="L408" s="104"/>
      <c r="M408" s="92" t="str">
        <f t="shared" si="14"/>
        <v/>
      </c>
      <c r="N408" s="104">
        <v>0</v>
      </c>
      <c r="O408" s="92" t="str">
        <f t="shared" si="15"/>
        <v/>
      </c>
      <c r="T408" s="97"/>
    </row>
    <row r="409" spans="1:20" ht="18" hidden="1" customHeight="1">
      <c r="A409" s="103"/>
      <c r="B409" s="104"/>
      <c r="C409" s="104"/>
      <c r="D409" s="104"/>
      <c r="E409" s="92"/>
      <c r="F409" s="104"/>
      <c r="G409" s="92"/>
      <c r="H409" s="90">
        <v>2040950</v>
      </c>
      <c r="I409" s="90" t="s">
        <v>1119</v>
      </c>
      <c r="J409" s="104"/>
      <c r="K409" s="104"/>
      <c r="L409" s="104"/>
      <c r="M409" s="92" t="str">
        <f t="shared" si="14"/>
        <v/>
      </c>
      <c r="N409" s="104">
        <v>0</v>
      </c>
      <c r="O409" s="92" t="str">
        <f t="shared" si="15"/>
        <v/>
      </c>
      <c r="T409" s="97"/>
    </row>
    <row r="410" spans="1:20" ht="18" hidden="1" customHeight="1">
      <c r="A410" s="103"/>
      <c r="B410" s="104"/>
      <c r="C410" s="104"/>
      <c r="D410" s="104"/>
      <c r="E410" s="92"/>
      <c r="F410" s="104"/>
      <c r="G410" s="92"/>
      <c r="H410" s="90">
        <v>2040999</v>
      </c>
      <c r="I410" s="90" t="s">
        <v>105</v>
      </c>
      <c r="J410" s="104"/>
      <c r="K410" s="104"/>
      <c r="L410" s="104"/>
      <c r="M410" s="92" t="str">
        <f t="shared" si="14"/>
        <v/>
      </c>
      <c r="N410" s="104">
        <v>0</v>
      </c>
      <c r="O410" s="92" t="str">
        <f t="shared" si="15"/>
        <v/>
      </c>
      <c r="T410" s="97"/>
    </row>
    <row r="411" spans="1:20" ht="18" customHeight="1">
      <c r="A411" s="103"/>
      <c r="B411" s="104"/>
      <c r="C411" s="104"/>
      <c r="D411" s="104"/>
      <c r="E411" s="92"/>
      <c r="F411" s="104"/>
      <c r="G411" s="92"/>
      <c r="H411" s="90">
        <v>20410</v>
      </c>
      <c r="I411" s="80" t="s">
        <v>106</v>
      </c>
      <c r="J411" s="143">
        <v>9000</v>
      </c>
      <c r="K411" s="143"/>
      <c r="L411" s="104"/>
      <c r="M411" s="92" t="str">
        <f t="shared" si="14"/>
        <v/>
      </c>
      <c r="N411" s="104">
        <v>0</v>
      </c>
      <c r="O411" s="92" t="str">
        <f t="shared" si="15"/>
        <v/>
      </c>
      <c r="T411" s="97"/>
    </row>
    <row r="412" spans="1:20" ht="18" customHeight="1">
      <c r="A412" s="103"/>
      <c r="B412" s="104"/>
      <c r="C412" s="104"/>
      <c r="D412" s="104"/>
      <c r="E412" s="92"/>
      <c r="F412" s="104"/>
      <c r="G412" s="92"/>
      <c r="H412" s="90">
        <v>2041001</v>
      </c>
      <c r="I412" s="90" t="s">
        <v>1110</v>
      </c>
      <c r="J412" s="143">
        <v>0</v>
      </c>
      <c r="K412" s="143"/>
      <c r="L412" s="104"/>
      <c r="M412" s="92" t="str">
        <f t="shared" si="14"/>
        <v/>
      </c>
      <c r="N412" s="104">
        <v>0</v>
      </c>
      <c r="O412" s="92" t="str">
        <f t="shared" si="15"/>
        <v/>
      </c>
      <c r="T412" s="97"/>
    </row>
    <row r="413" spans="1:20" ht="18" customHeight="1">
      <c r="A413" s="103"/>
      <c r="B413" s="104"/>
      <c r="C413" s="104"/>
      <c r="D413" s="104"/>
      <c r="E413" s="92"/>
      <c r="F413" s="104"/>
      <c r="G413" s="92"/>
      <c r="H413" s="90">
        <v>2041002</v>
      </c>
      <c r="I413" s="90" t="s">
        <v>1111</v>
      </c>
      <c r="J413" s="143">
        <v>0</v>
      </c>
      <c r="K413" s="143"/>
      <c r="L413" s="104"/>
      <c r="M413" s="92" t="str">
        <f t="shared" si="14"/>
        <v/>
      </c>
      <c r="N413" s="104">
        <v>0</v>
      </c>
      <c r="O413" s="92" t="str">
        <f t="shared" si="15"/>
        <v/>
      </c>
      <c r="T413" s="97"/>
    </row>
    <row r="414" spans="1:20" ht="18" customHeight="1">
      <c r="A414" s="103"/>
      <c r="B414" s="104"/>
      <c r="C414" s="104"/>
      <c r="D414" s="104"/>
      <c r="E414" s="92"/>
      <c r="F414" s="104"/>
      <c r="G414" s="92"/>
      <c r="H414" s="90">
        <v>2041003</v>
      </c>
      <c r="I414" s="90" t="s">
        <v>107</v>
      </c>
      <c r="J414" s="143">
        <v>9000</v>
      </c>
      <c r="K414" s="143"/>
      <c r="L414" s="104"/>
      <c r="M414" s="92" t="str">
        <f t="shared" si="14"/>
        <v/>
      </c>
      <c r="N414" s="104">
        <v>0</v>
      </c>
      <c r="O414" s="92" t="str">
        <f t="shared" si="15"/>
        <v/>
      </c>
      <c r="T414" s="97"/>
    </row>
    <row r="415" spans="1:20" ht="18" customHeight="1">
      <c r="A415" s="103"/>
      <c r="B415" s="104"/>
      <c r="C415" s="104"/>
      <c r="D415" s="104"/>
      <c r="E415" s="92"/>
      <c r="F415" s="104"/>
      <c r="G415" s="92"/>
      <c r="H415" s="90">
        <v>2041004</v>
      </c>
      <c r="I415" s="90" t="s">
        <v>108</v>
      </c>
      <c r="J415" s="104"/>
      <c r="K415" s="104"/>
      <c r="L415" s="104"/>
      <c r="M415" s="92" t="str">
        <f t="shared" si="14"/>
        <v/>
      </c>
      <c r="N415" s="104">
        <v>0</v>
      </c>
      <c r="O415" s="92" t="str">
        <f t="shared" si="15"/>
        <v/>
      </c>
      <c r="T415" s="97"/>
    </row>
    <row r="416" spans="1:20" ht="18" customHeight="1">
      <c r="A416" s="103"/>
      <c r="B416" s="104"/>
      <c r="C416" s="104"/>
      <c r="D416" s="104"/>
      <c r="E416" s="92"/>
      <c r="F416" s="104"/>
      <c r="G416" s="92"/>
      <c r="H416" s="90">
        <v>2041005</v>
      </c>
      <c r="I416" s="90" t="s">
        <v>109</v>
      </c>
      <c r="J416" s="104"/>
      <c r="K416" s="104"/>
      <c r="L416" s="104"/>
      <c r="M416" s="92" t="str">
        <f t="shared" si="14"/>
        <v/>
      </c>
      <c r="N416" s="104">
        <v>0</v>
      </c>
      <c r="O416" s="92" t="str">
        <f t="shared" si="15"/>
        <v/>
      </c>
      <c r="T416" s="97"/>
    </row>
    <row r="417" spans="1:21" ht="18" customHeight="1">
      <c r="A417" s="103"/>
      <c r="B417" s="104"/>
      <c r="C417" s="104"/>
      <c r="D417" s="104"/>
      <c r="E417" s="92"/>
      <c r="F417" s="104"/>
      <c r="G417" s="92"/>
      <c r="H417" s="90">
        <v>2041006</v>
      </c>
      <c r="I417" s="90" t="s">
        <v>64</v>
      </c>
      <c r="J417" s="104"/>
      <c r="K417" s="104"/>
      <c r="L417" s="104"/>
      <c r="M417" s="92" t="str">
        <f t="shared" si="14"/>
        <v/>
      </c>
      <c r="N417" s="104">
        <v>0</v>
      </c>
      <c r="O417" s="92" t="str">
        <f t="shared" si="15"/>
        <v/>
      </c>
      <c r="T417" s="97"/>
    </row>
    <row r="418" spans="1:21" ht="18" customHeight="1">
      <c r="A418" s="103"/>
      <c r="B418" s="104"/>
      <c r="C418" s="104"/>
      <c r="D418" s="104"/>
      <c r="E418" s="92"/>
      <c r="F418" s="104"/>
      <c r="G418" s="92"/>
      <c r="H418" s="90">
        <v>2041099</v>
      </c>
      <c r="I418" s="90" t="s">
        <v>110</v>
      </c>
      <c r="J418" s="104"/>
      <c r="K418" s="104"/>
      <c r="L418" s="104"/>
      <c r="M418" s="92" t="str">
        <f t="shared" si="14"/>
        <v/>
      </c>
      <c r="N418" s="104">
        <v>0</v>
      </c>
      <c r="O418" s="92" t="str">
        <f t="shared" si="15"/>
        <v/>
      </c>
      <c r="T418" s="97"/>
    </row>
    <row r="419" spans="1:21" ht="18" customHeight="1">
      <c r="A419" s="103"/>
      <c r="B419" s="104"/>
      <c r="C419" s="104"/>
      <c r="D419" s="104"/>
      <c r="E419" s="92"/>
      <c r="F419" s="104"/>
      <c r="G419" s="92"/>
      <c r="H419" s="90">
        <v>20499</v>
      </c>
      <c r="I419" s="80" t="s">
        <v>111</v>
      </c>
      <c r="J419" s="143">
        <v>140821</v>
      </c>
      <c r="K419" s="647">
        <v>234</v>
      </c>
      <c r="L419" s="87">
        <v>209</v>
      </c>
      <c r="M419" s="92">
        <f t="shared" si="14"/>
        <v>0.89316239316239321</v>
      </c>
      <c r="N419" s="104">
        <v>64453</v>
      </c>
      <c r="O419" s="92">
        <f t="shared" si="15"/>
        <v>-0.99675732704451303</v>
      </c>
      <c r="T419" s="97"/>
    </row>
    <row r="420" spans="1:21" ht="18" customHeight="1">
      <c r="A420" s="103"/>
      <c r="B420" s="104"/>
      <c r="C420" s="104"/>
      <c r="D420" s="104"/>
      <c r="E420" s="92"/>
      <c r="F420" s="104"/>
      <c r="G420" s="92"/>
      <c r="H420" s="90">
        <v>2049901</v>
      </c>
      <c r="I420" s="90" t="s">
        <v>112</v>
      </c>
      <c r="J420" s="104"/>
      <c r="K420" s="104"/>
      <c r="L420" s="87">
        <v>209</v>
      </c>
      <c r="M420" s="92" t="str">
        <f t="shared" si="14"/>
        <v/>
      </c>
      <c r="N420" s="104">
        <v>64453</v>
      </c>
      <c r="O420" s="92">
        <f t="shared" si="15"/>
        <v>-0.99675732704451303</v>
      </c>
      <c r="T420" s="97"/>
    </row>
    <row r="421" spans="1:21" ht="18" customHeight="1">
      <c r="A421" s="103"/>
      <c r="B421" s="104"/>
      <c r="C421" s="104"/>
      <c r="D421" s="104"/>
      <c r="E421" s="92"/>
      <c r="F421" s="104"/>
      <c r="G421" s="92"/>
      <c r="H421" s="90">
        <v>2049902</v>
      </c>
      <c r="I421" s="90" t="s">
        <v>113</v>
      </c>
      <c r="J421" s="104"/>
      <c r="K421" s="104"/>
      <c r="L421" s="104"/>
      <c r="M421" s="92" t="str">
        <f t="shared" si="14"/>
        <v/>
      </c>
      <c r="N421" s="104">
        <v>0</v>
      </c>
      <c r="O421" s="92" t="str">
        <f t="shared" si="15"/>
        <v/>
      </c>
      <c r="T421" s="97"/>
    </row>
    <row r="422" spans="1:21" s="112" customFormat="1" ht="18" customHeight="1">
      <c r="A422" s="111"/>
      <c r="B422" s="109"/>
      <c r="C422" s="109"/>
      <c r="D422" s="109"/>
      <c r="E422" s="82"/>
      <c r="F422" s="109"/>
      <c r="G422" s="82"/>
      <c r="H422" s="80">
        <v>205</v>
      </c>
      <c r="I422" s="80" t="s">
        <v>114</v>
      </c>
      <c r="J422" s="110">
        <f>2356747-500000</f>
        <v>1856747</v>
      </c>
      <c r="K422" s="656">
        <v>1691807</v>
      </c>
      <c r="L422" s="77">
        <v>905568</v>
      </c>
      <c r="M422" s="82">
        <f t="shared" si="14"/>
        <v>0.53526672959740684</v>
      </c>
      <c r="N422" s="109">
        <v>1556291</v>
      </c>
      <c r="O422" s="82">
        <f t="shared" si="15"/>
        <v>-0.41812424540140625</v>
      </c>
      <c r="P422" s="84"/>
      <c r="T422" s="96"/>
    </row>
    <row r="423" spans="1:21" ht="18" customHeight="1">
      <c r="A423" s="103"/>
      <c r="B423" s="104"/>
      <c r="C423" s="104"/>
      <c r="D423" s="104"/>
      <c r="E423" s="92"/>
      <c r="F423" s="104"/>
      <c r="G423" s="92"/>
      <c r="H423" s="90">
        <v>20501</v>
      </c>
      <c r="I423" s="80" t="s">
        <v>115</v>
      </c>
      <c r="J423" s="143">
        <v>24704</v>
      </c>
      <c r="K423" s="647">
        <v>115466</v>
      </c>
      <c r="L423" s="87">
        <v>115466</v>
      </c>
      <c r="M423" s="92">
        <f t="shared" si="14"/>
        <v>1</v>
      </c>
      <c r="N423" s="104">
        <v>19140</v>
      </c>
      <c r="O423" s="92">
        <f t="shared" si="15"/>
        <v>5.0327063740856843</v>
      </c>
      <c r="T423" s="96" t="s">
        <v>1058</v>
      </c>
      <c r="U423" s="63">
        <v>1418724</v>
      </c>
    </row>
    <row r="424" spans="1:21" ht="18" customHeight="1">
      <c r="A424" s="103"/>
      <c r="B424" s="104"/>
      <c r="C424" s="104"/>
      <c r="D424" s="104"/>
      <c r="E424" s="92"/>
      <c r="F424" s="104"/>
      <c r="G424" s="92"/>
      <c r="H424" s="90">
        <v>2050101</v>
      </c>
      <c r="I424" s="90" t="s">
        <v>1110</v>
      </c>
      <c r="J424" s="143">
        <v>2058</v>
      </c>
      <c r="K424" s="143"/>
      <c r="L424" s="87">
        <v>2056</v>
      </c>
      <c r="M424" s="92" t="str">
        <f t="shared" si="14"/>
        <v/>
      </c>
      <c r="N424" s="104">
        <v>1799</v>
      </c>
      <c r="O424" s="92">
        <f t="shared" si="15"/>
        <v>0.14285714285714279</v>
      </c>
      <c r="T424" s="97" t="s">
        <v>115</v>
      </c>
      <c r="U424" s="63">
        <v>18000</v>
      </c>
    </row>
    <row r="425" spans="1:21" ht="18" customHeight="1">
      <c r="A425" s="103"/>
      <c r="B425" s="104"/>
      <c r="C425" s="104"/>
      <c r="D425" s="104"/>
      <c r="E425" s="92"/>
      <c r="F425" s="104"/>
      <c r="G425" s="92"/>
      <c r="H425" s="90">
        <v>2050102</v>
      </c>
      <c r="I425" s="90" t="s">
        <v>1111</v>
      </c>
      <c r="J425" s="143">
        <v>1712</v>
      </c>
      <c r="K425" s="143"/>
      <c r="L425" s="87">
        <v>867</v>
      </c>
      <c r="M425" s="92" t="str">
        <f t="shared" si="14"/>
        <v/>
      </c>
      <c r="N425" s="104">
        <v>166</v>
      </c>
      <c r="O425" s="92">
        <f t="shared" si="15"/>
        <v>4.2228915662650603</v>
      </c>
      <c r="T425" s="97" t="s">
        <v>117</v>
      </c>
      <c r="U425" s="63">
        <v>254129</v>
      </c>
    </row>
    <row r="426" spans="1:21" ht="18" customHeight="1">
      <c r="A426" s="103"/>
      <c r="B426" s="104"/>
      <c r="C426" s="104"/>
      <c r="D426" s="104"/>
      <c r="E426" s="92"/>
      <c r="F426" s="104"/>
      <c r="G426" s="92"/>
      <c r="H426" s="90">
        <v>2050103</v>
      </c>
      <c r="I426" s="90" t="s">
        <v>1112</v>
      </c>
      <c r="J426" s="143">
        <v>0</v>
      </c>
      <c r="K426" s="143"/>
      <c r="L426" s="87">
        <v>0</v>
      </c>
      <c r="M426" s="92" t="str">
        <f t="shared" si="14"/>
        <v/>
      </c>
      <c r="N426" s="104">
        <v>0</v>
      </c>
      <c r="O426" s="92" t="str">
        <f t="shared" si="15"/>
        <v/>
      </c>
      <c r="T426" s="97" t="s">
        <v>126</v>
      </c>
      <c r="U426" s="63">
        <v>128907</v>
      </c>
    </row>
    <row r="427" spans="1:21" ht="18" customHeight="1">
      <c r="A427" s="103"/>
      <c r="B427" s="104"/>
      <c r="C427" s="104"/>
      <c r="D427" s="104"/>
      <c r="E427" s="92"/>
      <c r="F427" s="104"/>
      <c r="G427" s="92"/>
      <c r="H427" s="90">
        <v>2050199</v>
      </c>
      <c r="I427" s="90" t="s">
        <v>116</v>
      </c>
      <c r="J427" s="143">
        <v>20934</v>
      </c>
      <c r="K427" s="143"/>
      <c r="L427" s="87">
        <v>112543</v>
      </c>
      <c r="M427" s="92" t="str">
        <f t="shared" si="14"/>
        <v/>
      </c>
      <c r="N427" s="104">
        <v>17175</v>
      </c>
      <c r="O427" s="92">
        <f t="shared" si="15"/>
        <v>5.552721979621543</v>
      </c>
      <c r="T427" s="97" t="s">
        <v>133</v>
      </c>
      <c r="U427" s="63">
        <v>377</v>
      </c>
    </row>
    <row r="428" spans="1:21" s="144" customFormat="1" ht="18" customHeight="1">
      <c r="A428" s="103"/>
      <c r="B428" s="104"/>
      <c r="C428" s="104"/>
      <c r="D428" s="104"/>
      <c r="E428" s="92"/>
      <c r="F428" s="104"/>
      <c r="G428" s="92"/>
      <c r="H428" s="90">
        <v>20502</v>
      </c>
      <c r="I428" s="80" t="s">
        <v>117</v>
      </c>
      <c r="J428" s="143">
        <v>420448</v>
      </c>
      <c r="K428" s="647">
        <v>429111</v>
      </c>
      <c r="L428" s="87">
        <v>426308</v>
      </c>
      <c r="M428" s="92">
        <f t="shared" si="14"/>
        <v>0.99346789059241081</v>
      </c>
      <c r="N428" s="104">
        <v>275405</v>
      </c>
      <c r="O428" s="92">
        <f t="shared" si="15"/>
        <v>0.54793122855431098</v>
      </c>
      <c r="P428" s="75"/>
      <c r="T428" s="97" t="s">
        <v>139</v>
      </c>
      <c r="U428" s="144">
        <v>2530</v>
      </c>
    </row>
    <row r="429" spans="1:21" ht="18" customHeight="1">
      <c r="A429" s="103"/>
      <c r="B429" s="104"/>
      <c r="C429" s="104"/>
      <c r="D429" s="104"/>
      <c r="E429" s="92"/>
      <c r="F429" s="104"/>
      <c r="G429" s="92"/>
      <c r="H429" s="90">
        <v>2050201</v>
      </c>
      <c r="I429" s="90" t="s">
        <v>118</v>
      </c>
      <c r="J429" s="143">
        <v>14310</v>
      </c>
      <c r="K429" s="143"/>
      <c r="L429" s="87">
        <v>1748</v>
      </c>
      <c r="M429" s="92" t="str">
        <f t="shared" si="14"/>
        <v/>
      </c>
      <c r="N429" s="104">
        <v>1359</v>
      </c>
      <c r="O429" s="92">
        <f t="shared" si="15"/>
        <v>0.28623988226637231</v>
      </c>
      <c r="T429" s="97" t="s">
        <v>143</v>
      </c>
      <c r="U429" s="63">
        <v>0</v>
      </c>
    </row>
    <row r="430" spans="1:21" ht="18" customHeight="1">
      <c r="A430" s="103"/>
      <c r="B430" s="104"/>
      <c r="C430" s="104"/>
      <c r="D430" s="104"/>
      <c r="E430" s="92"/>
      <c r="F430" s="104"/>
      <c r="G430" s="92"/>
      <c r="H430" s="90">
        <v>2050202</v>
      </c>
      <c r="I430" s="90" t="s">
        <v>119</v>
      </c>
      <c r="J430" s="143">
        <v>12756</v>
      </c>
      <c r="K430" s="143"/>
      <c r="L430" s="87">
        <v>3725</v>
      </c>
      <c r="M430" s="92" t="str">
        <f t="shared" si="14"/>
        <v/>
      </c>
      <c r="N430" s="104">
        <v>3008</v>
      </c>
      <c r="O430" s="92">
        <f t="shared" si="15"/>
        <v>0.2383643617021276</v>
      </c>
      <c r="T430" s="97" t="s">
        <v>147</v>
      </c>
      <c r="U430" s="63">
        <v>9996</v>
      </c>
    </row>
    <row r="431" spans="1:21" ht="18" customHeight="1">
      <c r="A431" s="103"/>
      <c r="B431" s="104"/>
      <c r="C431" s="104"/>
      <c r="D431" s="104"/>
      <c r="E431" s="92"/>
      <c r="F431" s="104"/>
      <c r="G431" s="92"/>
      <c r="H431" s="90">
        <v>2050203</v>
      </c>
      <c r="I431" s="90" t="s">
        <v>120</v>
      </c>
      <c r="J431" s="143">
        <v>47133</v>
      </c>
      <c r="K431" s="143"/>
      <c r="L431" s="87">
        <v>9245</v>
      </c>
      <c r="M431" s="92" t="str">
        <f t="shared" si="14"/>
        <v/>
      </c>
      <c r="N431" s="104">
        <v>8214</v>
      </c>
      <c r="O431" s="92">
        <f t="shared" si="15"/>
        <v>0.12551740930119304</v>
      </c>
      <c r="T431" s="97" t="s">
        <v>1059</v>
      </c>
      <c r="U431" s="63">
        <v>6028</v>
      </c>
    </row>
    <row r="432" spans="1:21" ht="18" customHeight="1">
      <c r="A432" s="103"/>
      <c r="B432" s="104"/>
      <c r="C432" s="104"/>
      <c r="D432" s="104"/>
      <c r="E432" s="92"/>
      <c r="F432" s="104"/>
      <c r="G432" s="92"/>
      <c r="H432" s="90">
        <v>2050204</v>
      </c>
      <c r="I432" s="90" t="s">
        <v>121</v>
      </c>
      <c r="J432" s="143">
        <v>94200</v>
      </c>
      <c r="K432" s="143"/>
      <c r="L432" s="87">
        <v>118661</v>
      </c>
      <c r="M432" s="92" t="str">
        <f t="shared" si="14"/>
        <v/>
      </c>
      <c r="N432" s="104">
        <v>86460</v>
      </c>
      <c r="O432" s="92">
        <f t="shared" si="15"/>
        <v>0.37243812167476298</v>
      </c>
      <c r="T432" s="97" t="s">
        <v>157</v>
      </c>
      <c r="U432" s="63">
        <v>164916</v>
      </c>
    </row>
    <row r="433" spans="1:21" ht="18" customHeight="1">
      <c r="A433" s="103"/>
      <c r="B433" s="104"/>
      <c r="C433" s="104"/>
      <c r="D433" s="104"/>
      <c r="E433" s="92"/>
      <c r="F433" s="104"/>
      <c r="G433" s="92"/>
      <c r="H433" s="90">
        <v>2050205</v>
      </c>
      <c r="I433" s="90" t="s">
        <v>122</v>
      </c>
      <c r="J433" s="143">
        <v>250496</v>
      </c>
      <c r="K433" s="143"/>
      <c r="L433" s="87">
        <v>292919</v>
      </c>
      <c r="M433" s="92" t="str">
        <f t="shared" si="14"/>
        <v/>
      </c>
      <c r="N433" s="104">
        <v>176364</v>
      </c>
      <c r="O433" s="92">
        <f t="shared" si="15"/>
        <v>0.660877503345354</v>
      </c>
      <c r="T433" s="97" t="s">
        <v>1022</v>
      </c>
      <c r="U433" s="63">
        <v>833841</v>
      </c>
    </row>
    <row r="434" spans="1:21" ht="18" customHeight="1">
      <c r="A434" s="103"/>
      <c r="B434" s="104"/>
      <c r="C434" s="104"/>
      <c r="D434" s="104"/>
      <c r="E434" s="92"/>
      <c r="F434" s="104"/>
      <c r="G434" s="92"/>
      <c r="H434" s="90">
        <v>2050206</v>
      </c>
      <c r="I434" s="90" t="s">
        <v>123</v>
      </c>
      <c r="J434" s="143">
        <v>1</v>
      </c>
      <c r="K434" s="143"/>
      <c r="L434" s="87">
        <v>0</v>
      </c>
      <c r="M434" s="92" t="str">
        <f t="shared" si="14"/>
        <v/>
      </c>
      <c r="N434" s="104">
        <v>0</v>
      </c>
      <c r="O434" s="92" t="str">
        <f t="shared" si="15"/>
        <v/>
      </c>
      <c r="T434" s="97"/>
    </row>
    <row r="435" spans="1:21" ht="18" customHeight="1">
      <c r="A435" s="103"/>
      <c r="B435" s="104"/>
      <c r="C435" s="104"/>
      <c r="D435" s="104"/>
      <c r="E435" s="92"/>
      <c r="F435" s="104"/>
      <c r="G435" s="92"/>
      <c r="H435" s="90">
        <v>2050207</v>
      </c>
      <c r="I435" s="90" t="s">
        <v>124</v>
      </c>
      <c r="J435" s="143">
        <v>4</v>
      </c>
      <c r="K435" s="143"/>
      <c r="L435" s="87">
        <v>0</v>
      </c>
      <c r="M435" s="92" t="str">
        <f t="shared" si="14"/>
        <v/>
      </c>
      <c r="N435" s="104">
        <v>0</v>
      </c>
      <c r="O435" s="92" t="str">
        <f t="shared" si="15"/>
        <v/>
      </c>
      <c r="T435" s="97"/>
    </row>
    <row r="436" spans="1:21" ht="18" customHeight="1">
      <c r="A436" s="103"/>
      <c r="B436" s="104"/>
      <c r="C436" s="104"/>
      <c r="D436" s="104"/>
      <c r="E436" s="92"/>
      <c r="F436" s="104"/>
      <c r="G436" s="92"/>
      <c r="H436" s="90">
        <v>2050299</v>
      </c>
      <c r="I436" s="90" t="s">
        <v>125</v>
      </c>
      <c r="J436" s="143">
        <v>1548</v>
      </c>
      <c r="K436" s="143"/>
      <c r="L436" s="87">
        <v>10</v>
      </c>
      <c r="M436" s="92" t="str">
        <f t="shared" si="14"/>
        <v/>
      </c>
      <c r="N436" s="104">
        <v>0</v>
      </c>
      <c r="O436" s="92" t="str">
        <f t="shared" si="15"/>
        <v/>
      </c>
      <c r="T436" s="97"/>
    </row>
    <row r="437" spans="1:21" ht="18" customHeight="1">
      <c r="A437" s="103"/>
      <c r="B437" s="104"/>
      <c r="C437" s="104"/>
      <c r="D437" s="104"/>
      <c r="E437" s="92"/>
      <c r="F437" s="104"/>
      <c r="G437" s="92"/>
      <c r="H437" s="90">
        <v>20503</v>
      </c>
      <c r="I437" s="80" t="s">
        <v>126</v>
      </c>
      <c r="J437" s="143">
        <v>171162</v>
      </c>
      <c r="K437" s="647">
        <v>176467</v>
      </c>
      <c r="L437" s="87">
        <v>176059</v>
      </c>
      <c r="M437" s="92">
        <f t="shared" si="14"/>
        <v>0.99768795298837742</v>
      </c>
      <c r="N437" s="104">
        <v>118131</v>
      </c>
      <c r="O437" s="92">
        <f t="shared" si="15"/>
        <v>0.49037085946957193</v>
      </c>
      <c r="T437" s="97"/>
    </row>
    <row r="438" spans="1:21" ht="18" customHeight="1">
      <c r="A438" s="103"/>
      <c r="B438" s="104"/>
      <c r="C438" s="104"/>
      <c r="D438" s="104"/>
      <c r="E438" s="92"/>
      <c r="F438" s="104"/>
      <c r="G438" s="92"/>
      <c r="H438" s="90">
        <v>2050301</v>
      </c>
      <c r="I438" s="90" t="s">
        <v>127</v>
      </c>
      <c r="J438" s="143">
        <v>0</v>
      </c>
      <c r="K438" s="143"/>
      <c r="L438" s="87">
        <v>0</v>
      </c>
      <c r="M438" s="92" t="str">
        <f t="shared" si="14"/>
        <v/>
      </c>
      <c r="N438" s="104">
        <v>0</v>
      </c>
      <c r="O438" s="92" t="str">
        <f t="shared" si="15"/>
        <v/>
      </c>
      <c r="T438" s="97"/>
    </row>
    <row r="439" spans="1:21" ht="18" customHeight="1">
      <c r="A439" s="103"/>
      <c r="B439" s="104"/>
      <c r="C439" s="104"/>
      <c r="D439" s="104"/>
      <c r="E439" s="92"/>
      <c r="F439" s="104"/>
      <c r="G439" s="92"/>
      <c r="H439" s="90">
        <v>2050302</v>
      </c>
      <c r="I439" s="90" t="s">
        <v>128</v>
      </c>
      <c r="J439" s="143">
        <v>8888</v>
      </c>
      <c r="K439" s="143"/>
      <c r="L439" s="87">
        <v>9353</v>
      </c>
      <c r="M439" s="92" t="str">
        <f t="shared" si="14"/>
        <v/>
      </c>
      <c r="N439" s="104">
        <v>8697</v>
      </c>
      <c r="O439" s="92">
        <f t="shared" si="15"/>
        <v>7.5428308612165207E-2</v>
      </c>
      <c r="T439" s="97"/>
    </row>
    <row r="440" spans="1:21" ht="18" customHeight="1">
      <c r="A440" s="103"/>
      <c r="B440" s="104"/>
      <c r="C440" s="104"/>
      <c r="D440" s="104"/>
      <c r="E440" s="92"/>
      <c r="F440" s="104"/>
      <c r="G440" s="92"/>
      <c r="H440" s="90">
        <v>2050303</v>
      </c>
      <c r="I440" s="90" t="s">
        <v>129</v>
      </c>
      <c r="J440" s="143">
        <v>33528</v>
      </c>
      <c r="K440" s="143"/>
      <c r="L440" s="87">
        <v>30631</v>
      </c>
      <c r="M440" s="92" t="str">
        <f t="shared" si="14"/>
        <v/>
      </c>
      <c r="N440" s="104">
        <v>22502</v>
      </c>
      <c r="O440" s="92">
        <f t="shared" si="15"/>
        <v>0.36125677717536209</v>
      </c>
      <c r="T440" s="97"/>
    </row>
    <row r="441" spans="1:21" ht="18" customHeight="1">
      <c r="A441" s="103"/>
      <c r="B441" s="104"/>
      <c r="C441" s="104"/>
      <c r="D441" s="104"/>
      <c r="E441" s="92"/>
      <c r="F441" s="104"/>
      <c r="G441" s="92"/>
      <c r="H441" s="90">
        <v>2050304</v>
      </c>
      <c r="I441" s="90" t="s">
        <v>130</v>
      </c>
      <c r="J441" s="143">
        <v>28859</v>
      </c>
      <c r="K441" s="143"/>
      <c r="L441" s="87">
        <v>27084</v>
      </c>
      <c r="M441" s="92" t="str">
        <f t="shared" si="14"/>
        <v/>
      </c>
      <c r="N441" s="104">
        <v>18233</v>
      </c>
      <c r="O441" s="92">
        <f t="shared" si="15"/>
        <v>0.48543849064882361</v>
      </c>
      <c r="T441" s="97"/>
    </row>
    <row r="442" spans="1:21" ht="18" customHeight="1">
      <c r="A442" s="103"/>
      <c r="B442" s="104"/>
      <c r="C442" s="104"/>
      <c r="D442" s="104"/>
      <c r="E442" s="92"/>
      <c r="F442" s="104"/>
      <c r="G442" s="92"/>
      <c r="H442" s="90">
        <v>2050305</v>
      </c>
      <c r="I442" s="90" t="s">
        <v>131</v>
      </c>
      <c r="J442" s="143">
        <v>96493</v>
      </c>
      <c r="K442" s="143"/>
      <c r="L442" s="87">
        <v>107850</v>
      </c>
      <c r="M442" s="92" t="str">
        <f t="shared" si="14"/>
        <v/>
      </c>
      <c r="N442" s="104">
        <v>67613</v>
      </c>
      <c r="O442" s="92">
        <f t="shared" si="15"/>
        <v>0.59510744975078755</v>
      </c>
      <c r="T442" s="97"/>
    </row>
    <row r="443" spans="1:21" ht="18" customHeight="1">
      <c r="A443" s="103"/>
      <c r="B443" s="104"/>
      <c r="C443" s="104"/>
      <c r="D443" s="104"/>
      <c r="E443" s="92"/>
      <c r="F443" s="104"/>
      <c r="G443" s="92"/>
      <c r="H443" s="90">
        <v>2050399</v>
      </c>
      <c r="I443" s="90" t="s">
        <v>132</v>
      </c>
      <c r="J443" s="143">
        <v>3394</v>
      </c>
      <c r="K443" s="143"/>
      <c r="L443" s="87">
        <v>1141</v>
      </c>
      <c r="M443" s="92" t="str">
        <f t="shared" si="14"/>
        <v/>
      </c>
      <c r="N443" s="104">
        <v>1086</v>
      </c>
      <c r="O443" s="92">
        <f t="shared" si="15"/>
        <v>5.0644567219152892E-2</v>
      </c>
      <c r="T443" s="97"/>
    </row>
    <row r="444" spans="1:21" ht="18" customHeight="1">
      <c r="A444" s="103"/>
      <c r="B444" s="104"/>
      <c r="C444" s="104"/>
      <c r="D444" s="104"/>
      <c r="E444" s="92"/>
      <c r="F444" s="104"/>
      <c r="G444" s="92"/>
      <c r="H444" s="90">
        <v>20504</v>
      </c>
      <c r="I444" s="80" t="s">
        <v>133</v>
      </c>
      <c r="J444" s="143">
        <v>3914</v>
      </c>
      <c r="K444" s="647">
        <v>890</v>
      </c>
      <c r="L444" s="87">
        <v>890</v>
      </c>
      <c r="M444" s="92">
        <f t="shared" si="14"/>
        <v>1</v>
      </c>
      <c r="N444" s="104">
        <v>934</v>
      </c>
      <c r="O444" s="92">
        <f t="shared" si="15"/>
        <v>-4.7109207708779466E-2</v>
      </c>
      <c r="T444" s="97"/>
    </row>
    <row r="445" spans="1:21" ht="18" customHeight="1">
      <c r="A445" s="103"/>
      <c r="B445" s="104"/>
      <c r="C445" s="104"/>
      <c r="D445" s="104"/>
      <c r="E445" s="92"/>
      <c r="F445" s="104"/>
      <c r="G445" s="92"/>
      <c r="H445" s="90">
        <v>2050401</v>
      </c>
      <c r="I445" s="90" t="s">
        <v>134</v>
      </c>
      <c r="J445" s="143">
        <v>46</v>
      </c>
      <c r="K445" s="143"/>
      <c r="L445" s="87">
        <v>0</v>
      </c>
      <c r="M445" s="92" t="str">
        <f t="shared" si="14"/>
        <v/>
      </c>
      <c r="N445" s="104">
        <v>0</v>
      </c>
      <c r="O445" s="92" t="str">
        <f t="shared" si="15"/>
        <v/>
      </c>
      <c r="T445" s="97"/>
    </row>
    <row r="446" spans="1:21" ht="18" customHeight="1">
      <c r="A446" s="103"/>
      <c r="B446" s="104"/>
      <c r="C446" s="104"/>
      <c r="D446" s="104"/>
      <c r="E446" s="92"/>
      <c r="F446" s="104"/>
      <c r="G446" s="92"/>
      <c r="H446" s="90">
        <v>2050402</v>
      </c>
      <c r="I446" s="90" t="s">
        <v>135</v>
      </c>
      <c r="J446" s="143">
        <v>0</v>
      </c>
      <c r="K446" s="143"/>
      <c r="L446" s="87">
        <v>0</v>
      </c>
      <c r="M446" s="92" t="str">
        <f t="shared" si="14"/>
        <v/>
      </c>
      <c r="N446" s="104">
        <v>0</v>
      </c>
      <c r="O446" s="92" t="str">
        <f t="shared" si="15"/>
        <v/>
      </c>
      <c r="T446" s="97"/>
    </row>
    <row r="447" spans="1:21" ht="18" customHeight="1">
      <c r="A447" s="103"/>
      <c r="B447" s="104"/>
      <c r="C447" s="104"/>
      <c r="D447" s="104"/>
      <c r="E447" s="92"/>
      <c r="F447" s="104"/>
      <c r="G447" s="92"/>
      <c r="H447" s="90">
        <v>2050403</v>
      </c>
      <c r="I447" s="90" t="s">
        <v>136</v>
      </c>
      <c r="J447" s="143">
        <v>868</v>
      </c>
      <c r="K447" s="143"/>
      <c r="L447" s="87">
        <v>890</v>
      </c>
      <c r="M447" s="92" t="str">
        <f t="shared" si="14"/>
        <v/>
      </c>
      <c r="N447" s="104">
        <v>590</v>
      </c>
      <c r="O447" s="92">
        <f t="shared" si="15"/>
        <v>0.50847457627118642</v>
      </c>
      <c r="T447" s="97"/>
    </row>
    <row r="448" spans="1:21" ht="18" customHeight="1">
      <c r="A448" s="103"/>
      <c r="B448" s="104"/>
      <c r="C448" s="104"/>
      <c r="D448" s="104"/>
      <c r="E448" s="92"/>
      <c r="F448" s="104"/>
      <c r="G448" s="92"/>
      <c r="H448" s="90">
        <v>2050404</v>
      </c>
      <c r="I448" s="90" t="s">
        <v>137</v>
      </c>
      <c r="J448" s="143">
        <v>0</v>
      </c>
      <c r="K448" s="143"/>
      <c r="L448" s="87">
        <v>0</v>
      </c>
      <c r="M448" s="92" t="str">
        <f t="shared" si="14"/>
        <v/>
      </c>
      <c r="N448" s="104">
        <v>0</v>
      </c>
      <c r="O448" s="92" t="str">
        <f t="shared" si="15"/>
        <v/>
      </c>
      <c r="T448" s="97"/>
    </row>
    <row r="449" spans="1:20" ht="18" customHeight="1">
      <c r="A449" s="103"/>
      <c r="B449" s="104"/>
      <c r="C449" s="104"/>
      <c r="D449" s="104"/>
      <c r="E449" s="92"/>
      <c r="F449" s="104"/>
      <c r="G449" s="92"/>
      <c r="H449" s="90">
        <v>2050499</v>
      </c>
      <c r="I449" s="90" t="s">
        <v>138</v>
      </c>
      <c r="J449" s="143">
        <v>3000</v>
      </c>
      <c r="K449" s="143"/>
      <c r="L449" s="87">
        <v>0</v>
      </c>
      <c r="M449" s="92" t="str">
        <f t="shared" si="14"/>
        <v/>
      </c>
      <c r="N449" s="104">
        <v>344</v>
      </c>
      <c r="O449" s="92">
        <f t="shared" si="15"/>
        <v>-1</v>
      </c>
      <c r="T449" s="97"/>
    </row>
    <row r="450" spans="1:20" ht="18" customHeight="1">
      <c r="A450" s="103"/>
      <c r="B450" s="104"/>
      <c r="C450" s="104"/>
      <c r="D450" s="104"/>
      <c r="E450" s="92"/>
      <c r="F450" s="104"/>
      <c r="G450" s="92"/>
      <c r="H450" s="90">
        <v>20505</v>
      </c>
      <c r="I450" s="80" t="s">
        <v>139</v>
      </c>
      <c r="J450" s="108">
        <v>1922</v>
      </c>
      <c r="K450" s="647">
        <v>1632</v>
      </c>
      <c r="L450" s="87">
        <v>1632</v>
      </c>
      <c r="M450" s="92">
        <f t="shared" si="14"/>
        <v>1</v>
      </c>
      <c r="N450" s="104">
        <v>3379</v>
      </c>
      <c r="O450" s="92">
        <f t="shared" si="15"/>
        <v>-0.51701686889612319</v>
      </c>
      <c r="T450" s="97"/>
    </row>
    <row r="451" spans="1:20" ht="18" customHeight="1">
      <c r="A451" s="103"/>
      <c r="B451" s="104"/>
      <c r="C451" s="104"/>
      <c r="D451" s="104"/>
      <c r="E451" s="92"/>
      <c r="F451" s="104"/>
      <c r="G451" s="92"/>
      <c r="H451" s="90">
        <v>2050501</v>
      </c>
      <c r="I451" s="90" t="s">
        <v>140</v>
      </c>
      <c r="J451" s="143">
        <v>1922</v>
      </c>
      <c r="K451" s="143"/>
      <c r="L451" s="87">
        <v>1632</v>
      </c>
      <c r="M451" s="92" t="str">
        <f t="shared" si="14"/>
        <v/>
      </c>
      <c r="N451" s="104">
        <v>3379</v>
      </c>
      <c r="O451" s="92">
        <f t="shared" si="15"/>
        <v>-0.51701686889612319</v>
      </c>
      <c r="T451" s="97"/>
    </row>
    <row r="452" spans="1:20" ht="18" customHeight="1">
      <c r="A452" s="103"/>
      <c r="B452" s="104"/>
      <c r="C452" s="104"/>
      <c r="D452" s="104"/>
      <c r="E452" s="92"/>
      <c r="F452" s="104"/>
      <c r="G452" s="92"/>
      <c r="H452" s="90">
        <v>2050502</v>
      </c>
      <c r="I452" s="90" t="s">
        <v>141</v>
      </c>
      <c r="J452" s="104"/>
      <c r="K452" s="104"/>
      <c r="L452" s="87">
        <v>0</v>
      </c>
      <c r="M452" s="92" t="str">
        <f t="shared" si="14"/>
        <v/>
      </c>
      <c r="N452" s="104">
        <v>0</v>
      </c>
      <c r="O452" s="92" t="str">
        <f t="shared" si="15"/>
        <v/>
      </c>
      <c r="T452" s="97"/>
    </row>
    <row r="453" spans="1:20" ht="18" customHeight="1">
      <c r="A453" s="103"/>
      <c r="B453" s="104"/>
      <c r="C453" s="104"/>
      <c r="D453" s="104"/>
      <c r="E453" s="92"/>
      <c r="F453" s="104"/>
      <c r="G453" s="92"/>
      <c r="H453" s="90">
        <v>2050599</v>
      </c>
      <c r="I453" s="90" t="s">
        <v>142</v>
      </c>
      <c r="J453" s="104"/>
      <c r="K453" s="104"/>
      <c r="L453" s="87">
        <v>0</v>
      </c>
      <c r="M453" s="92" t="str">
        <f t="shared" si="14"/>
        <v/>
      </c>
      <c r="N453" s="104">
        <v>0</v>
      </c>
      <c r="O453" s="92" t="str">
        <f t="shared" si="15"/>
        <v/>
      </c>
      <c r="T453" s="97"/>
    </row>
    <row r="454" spans="1:20" ht="18" customHeight="1">
      <c r="A454" s="103"/>
      <c r="B454" s="104"/>
      <c r="C454" s="104"/>
      <c r="D454" s="104"/>
      <c r="E454" s="92"/>
      <c r="F454" s="104"/>
      <c r="G454" s="92"/>
      <c r="H454" s="90">
        <v>20506</v>
      </c>
      <c r="I454" s="80" t="s">
        <v>143</v>
      </c>
      <c r="J454" s="104"/>
      <c r="K454" s="104"/>
      <c r="L454" s="87">
        <v>0</v>
      </c>
      <c r="M454" s="92" t="str">
        <f t="shared" ref="M454:M517" si="16">+IF(ISERROR(L454/K454),"",L454/K454)</f>
        <v/>
      </c>
      <c r="N454" s="104">
        <v>0</v>
      </c>
      <c r="O454" s="92" t="str">
        <f t="shared" si="15"/>
        <v/>
      </c>
      <c r="T454" s="97"/>
    </row>
    <row r="455" spans="1:20" ht="18" customHeight="1">
      <c r="A455" s="103"/>
      <c r="B455" s="104"/>
      <c r="C455" s="104"/>
      <c r="D455" s="104"/>
      <c r="E455" s="92"/>
      <c r="F455" s="104"/>
      <c r="G455" s="92"/>
      <c r="H455" s="90">
        <v>2050601</v>
      </c>
      <c r="I455" s="90" t="s">
        <v>144</v>
      </c>
      <c r="J455" s="104"/>
      <c r="K455" s="104"/>
      <c r="L455" s="87">
        <v>0</v>
      </c>
      <c r="M455" s="92" t="str">
        <f t="shared" si="16"/>
        <v/>
      </c>
      <c r="N455" s="104">
        <v>0</v>
      </c>
      <c r="O455" s="92" t="str">
        <f t="shared" ref="O455:O518" si="17">IF(ISERROR(L455/N455-1),"",(L455/N455-1))</f>
        <v/>
      </c>
      <c r="T455" s="97"/>
    </row>
    <row r="456" spans="1:20" ht="18" customHeight="1">
      <c r="A456" s="103"/>
      <c r="B456" s="104"/>
      <c r="C456" s="104"/>
      <c r="D456" s="104"/>
      <c r="E456" s="92"/>
      <c r="F456" s="104"/>
      <c r="G456" s="92"/>
      <c r="H456" s="90">
        <v>2050602</v>
      </c>
      <c r="I456" s="90" t="s">
        <v>145</v>
      </c>
      <c r="J456" s="104"/>
      <c r="K456" s="104"/>
      <c r="L456" s="87">
        <v>0</v>
      </c>
      <c r="M456" s="92" t="str">
        <f t="shared" si="16"/>
        <v/>
      </c>
      <c r="N456" s="104">
        <v>0</v>
      </c>
      <c r="O456" s="92" t="str">
        <f t="shared" si="17"/>
        <v/>
      </c>
      <c r="T456" s="97"/>
    </row>
    <row r="457" spans="1:20" ht="18" customHeight="1">
      <c r="A457" s="103"/>
      <c r="B457" s="104"/>
      <c r="C457" s="104"/>
      <c r="D457" s="104"/>
      <c r="E457" s="92"/>
      <c r="F457" s="104"/>
      <c r="G457" s="92"/>
      <c r="H457" s="90">
        <v>2050699</v>
      </c>
      <c r="I457" s="90" t="s">
        <v>146</v>
      </c>
      <c r="J457" s="104"/>
      <c r="K457" s="104"/>
      <c r="L457" s="87">
        <v>0</v>
      </c>
      <c r="M457" s="92" t="str">
        <f t="shared" si="16"/>
        <v/>
      </c>
      <c r="N457" s="104">
        <v>0</v>
      </c>
      <c r="O457" s="92" t="str">
        <f t="shared" si="17"/>
        <v/>
      </c>
      <c r="T457" s="97"/>
    </row>
    <row r="458" spans="1:20" ht="18" customHeight="1">
      <c r="A458" s="103"/>
      <c r="B458" s="104"/>
      <c r="C458" s="104"/>
      <c r="D458" s="104"/>
      <c r="E458" s="92"/>
      <c r="F458" s="104"/>
      <c r="G458" s="92"/>
      <c r="H458" s="90">
        <v>20507</v>
      </c>
      <c r="I458" s="80" t="s">
        <v>147</v>
      </c>
      <c r="J458" s="143">
        <v>13116</v>
      </c>
      <c r="K458" s="647">
        <v>15814</v>
      </c>
      <c r="L458" s="87">
        <v>15616</v>
      </c>
      <c r="M458" s="92">
        <f t="shared" si="16"/>
        <v>0.98747944858985703</v>
      </c>
      <c r="N458" s="104">
        <v>10419</v>
      </c>
      <c r="O458" s="92">
        <f t="shared" si="17"/>
        <v>0.49880026873980232</v>
      </c>
      <c r="T458" s="97"/>
    </row>
    <row r="459" spans="1:20" ht="18" customHeight="1">
      <c r="A459" s="103"/>
      <c r="B459" s="104"/>
      <c r="C459" s="104"/>
      <c r="D459" s="104"/>
      <c r="E459" s="92"/>
      <c r="F459" s="104"/>
      <c r="G459" s="92"/>
      <c r="H459" s="90">
        <v>2050701</v>
      </c>
      <c r="I459" s="90" t="s">
        <v>148</v>
      </c>
      <c r="J459" s="143">
        <v>8552</v>
      </c>
      <c r="K459" s="143"/>
      <c r="L459" s="87">
        <v>10173</v>
      </c>
      <c r="M459" s="92" t="str">
        <f t="shared" si="16"/>
        <v/>
      </c>
      <c r="N459" s="104">
        <v>6285</v>
      </c>
      <c r="O459" s="92">
        <f t="shared" si="17"/>
        <v>0.61861575178997619</v>
      </c>
      <c r="T459" s="97"/>
    </row>
    <row r="460" spans="1:20" ht="18" customHeight="1">
      <c r="A460" s="103"/>
      <c r="B460" s="104"/>
      <c r="C460" s="104"/>
      <c r="D460" s="104"/>
      <c r="E460" s="92"/>
      <c r="F460" s="104"/>
      <c r="G460" s="92"/>
      <c r="H460" s="90">
        <v>2050702</v>
      </c>
      <c r="I460" s="90" t="s">
        <v>149</v>
      </c>
      <c r="J460" s="143">
        <v>4564</v>
      </c>
      <c r="K460" s="143"/>
      <c r="L460" s="87">
        <v>5443</v>
      </c>
      <c r="M460" s="92" t="str">
        <f t="shared" si="16"/>
        <v/>
      </c>
      <c r="N460" s="104">
        <v>4134</v>
      </c>
      <c r="O460" s="92">
        <f t="shared" si="17"/>
        <v>0.3166424770198355</v>
      </c>
      <c r="T460" s="97"/>
    </row>
    <row r="461" spans="1:20" ht="18" customHeight="1">
      <c r="A461" s="103"/>
      <c r="B461" s="104"/>
      <c r="C461" s="104"/>
      <c r="D461" s="104"/>
      <c r="E461" s="92"/>
      <c r="F461" s="104"/>
      <c r="G461" s="92"/>
      <c r="H461" s="90">
        <v>2050799</v>
      </c>
      <c r="I461" s="90" t="s">
        <v>150</v>
      </c>
      <c r="J461" s="104"/>
      <c r="K461" s="104"/>
      <c r="L461" s="87">
        <v>0</v>
      </c>
      <c r="M461" s="92" t="str">
        <f t="shared" si="16"/>
        <v/>
      </c>
      <c r="N461" s="104">
        <v>0</v>
      </c>
      <c r="O461" s="92" t="str">
        <f t="shared" si="17"/>
        <v/>
      </c>
      <c r="T461" s="97"/>
    </row>
    <row r="462" spans="1:20" ht="18" customHeight="1">
      <c r="A462" s="103"/>
      <c r="B462" s="104"/>
      <c r="C462" s="104"/>
      <c r="D462" s="104"/>
      <c r="E462" s="92"/>
      <c r="F462" s="104"/>
      <c r="G462" s="92"/>
      <c r="H462" s="90">
        <v>20508</v>
      </c>
      <c r="I462" s="80" t="s">
        <v>151</v>
      </c>
      <c r="J462" s="143">
        <v>24752</v>
      </c>
      <c r="K462" s="647">
        <v>21952</v>
      </c>
      <c r="L462" s="87">
        <v>21904</v>
      </c>
      <c r="M462" s="92">
        <f t="shared" si="16"/>
        <v>0.99781341107871724</v>
      </c>
      <c r="N462" s="104">
        <v>22308</v>
      </c>
      <c r="O462" s="92">
        <f t="shared" si="17"/>
        <v>-1.8110095033171958E-2</v>
      </c>
      <c r="T462" s="97"/>
    </row>
    <row r="463" spans="1:20" ht="18" customHeight="1">
      <c r="A463" s="103"/>
      <c r="B463" s="104"/>
      <c r="C463" s="104"/>
      <c r="D463" s="104"/>
      <c r="E463" s="92"/>
      <c r="F463" s="104"/>
      <c r="G463" s="92"/>
      <c r="H463" s="90">
        <v>2050801</v>
      </c>
      <c r="I463" s="90" t="s">
        <v>152</v>
      </c>
      <c r="J463" s="143">
        <v>30</v>
      </c>
      <c r="K463" s="143"/>
      <c r="L463" s="87">
        <v>231</v>
      </c>
      <c r="M463" s="92" t="str">
        <f t="shared" si="16"/>
        <v/>
      </c>
      <c r="N463" s="104">
        <v>268</v>
      </c>
      <c r="O463" s="92">
        <f t="shared" si="17"/>
        <v>-0.13805970149253732</v>
      </c>
      <c r="T463" s="97"/>
    </row>
    <row r="464" spans="1:20" ht="18" customHeight="1">
      <c r="A464" s="103"/>
      <c r="B464" s="104"/>
      <c r="C464" s="104"/>
      <c r="D464" s="104"/>
      <c r="E464" s="92"/>
      <c r="F464" s="104"/>
      <c r="G464" s="92"/>
      <c r="H464" s="90">
        <v>2050802</v>
      </c>
      <c r="I464" s="90" t="s">
        <v>153</v>
      </c>
      <c r="J464" s="143">
        <v>6743</v>
      </c>
      <c r="K464" s="143"/>
      <c r="L464" s="87">
        <v>7698</v>
      </c>
      <c r="M464" s="92" t="str">
        <f t="shared" si="16"/>
        <v/>
      </c>
      <c r="N464" s="104">
        <v>6645</v>
      </c>
      <c r="O464" s="92">
        <f t="shared" si="17"/>
        <v>0.15846501128668167</v>
      </c>
      <c r="T464" s="97"/>
    </row>
    <row r="465" spans="1:21" ht="18" customHeight="1">
      <c r="A465" s="103"/>
      <c r="B465" s="104"/>
      <c r="C465" s="104"/>
      <c r="D465" s="104"/>
      <c r="E465" s="92"/>
      <c r="F465" s="104"/>
      <c r="G465" s="92"/>
      <c r="H465" s="90">
        <v>2050803</v>
      </c>
      <c r="I465" s="90" t="s">
        <v>154</v>
      </c>
      <c r="J465" s="143">
        <v>17949</v>
      </c>
      <c r="K465" s="143"/>
      <c r="L465" s="87">
        <v>13945</v>
      </c>
      <c r="M465" s="92" t="str">
        <f t="shared" si="16"/>
        <v/>
      </c>
      <c r="N465" s="104">
        <v>15347</v>
      </c>
      <c r="O465" s="92">
        <f t="shared" si="17"/>
        <v>-9.1353358962663722E-2</v>
      </c>
      <c r="T465" s="97"/>
    </row>
    <row r="466" spans="1:21" ht="18" customHeight="1">
      <c r="A466" s="103"/>
      <c r="B466" s="104"/>
      <c r="C466" s="104"/>
      <c r="D466" s="104"/>
      <c r="E466" s="92"/>
      <c r="F466" s="104"/>
      <c r="G466" s="92"/>
      <c r="H466" s="90">
        <v>2050804</v>
      </c>
      <c r="I466" s="90" t="s">
        <v>155</v>
      </c>
      <c r="J466" s="143">
        <v>0</v>
      </c>
      <c r="K466" s="143"/>
      <c r="L466" s="87">
        <v>0</v>
      </c>
      <c r="M466" s="92" t="str">
        <f t="shared" si="16"/>
        <v/>
      </c>
      <c r="N466" s="104">
        <v>0</v>
      </c>
      <c r="O466" s="92" t="str">
        <f t="shared" si="17"/>
        <v/>
      </c>
      <c r="T466" s="97"/>
    </row>
    <row r="467" spans="1:21" ht="18" customHeight="1">
      <c r="A467" s="103"/>
      <c r="B467" s="104"/>
      <c r="C467" s="104"/>
      <c r="D467" s="104"/>
      <c r="E467" s="92"/>
      <c r="F467" s="104"/>
      <c r="G467" s="92"/>
      <c r="H467" s="90">
        <v>2050899</v>
      </c>
      <c r="I467" s="90" t="s">
        <v>156</v>
      </c>
      <c r="J467" s="143">
        <v>30</v>
      </c>
      <c r="K467" s="143"/>
      <c r="L467" s="87">
        <v>30</v>
      </c>
      <c r="M467" s="92" t="str">
        <f t="shared" si="16"/>
        <v/>
      </c>
      <c r="N467" s="104">
        <v>48</v>
      </c>
      <c r="O467" s="92">
        <f t="shared" si="17"/>
        <v>-0.375</v>
      </c>
      <c r="T467" s="97"/>
    </row>
    <row r="468" spans="1:21" ht="18" customHeight="1">
      <c r="A468" s="103"/>
      <c r="B468" s="104"/>
      <c r="C468" s="104"/>
      <c r="D468" s="104"/>
      <c r="E468" s="92"/>
      <c r="F468" s="104"/>
      <c r="G468" s="92"/>
      <c r="H468" s="90">
        <v>20509</v>
      </c>
      <c r="I468" s="80" t="s">
        <v>157</v>
      </c>
      <c r="J468" s="143">
        <v>200000</v>
      </c>
      <c r="K468" s="647">
        <v>174318</v>
      </c>
      <c r="L468" s="87">
        <v>42499</v>
      </c>
      <c r="M468" s="92">
        <f t="shared" si="16"/>
        <v>0.24380155807202927</v>
      </c>
      <c r="N468" s="104">
        <v>189527</v>
      </c>
      <c r="O468" s="92">
        <f t="shared" si="17"/>
        <v>-0.77576282007312947</v>
      </c>
      <c r="T468" s="97"/>
    </row>
    <row r="469" spans="1:21" ht="18" customHeight="1">
      <c r="A469" s="103"/>
      <c r="B469" s="104"/>
      <c r="C469" s="104"/>
      <c r="D469" s="104"/>
      <c r="E469" s="92"/>
      <c r="F469" s="104"/>
      <c r="G469" s="92"/>
      <c r="H469" s="90">
        <v>2050901</v>
      </c>
      <c r="I469" s="90" t="s">
        <v>158</v>
      </c>
      <c r="J469" s="143">
        <v>0</v>
      </c>
      <c r="K469" s="143"/>
      <c r="L469" s="87">
        <v>0</v>
      </c>
      <c r="M469" s="92" t="str">
        <f t="shared" si="16"/>
        <v/>
      </c>
      <c r="N469" s="104">
        <v>0</v>
      </c>
      <c r="O469" s="92" t="str">
        <f t="shared" si="17"/>
        <v/>
      </c>
      <c r="T469" s="97"/>
    </row>
    <row r="470" spans="1:21" ht="18" customHeight="1">
      <c r="A470" s="103"/>
      <c r="B470" s="104"/>
      <c r="C470" s="104"/>
      <c r="D470" s="104"/>
      <c r="E470" s="92"/>
      <c r="F470" s="104"/>
      <c r="G470" s="92"/>
      <c r="H470" s="90">
        <v>2050902</v>
      </c>
      <c r="I470" s="90" t="s">
        <v>159</v>
      </c>
      <c r="J470" s="143">
        <v>0</v>
      </c>
      <c r="K470" s="143"/>
      <c r="L470" s="87">
        <v>0</v>
      </c>
      <c r="M470" s="92" t="str">
        <f t="shared" si="16"/>
        <v/>
      </c>
      <c r="N470" s="104">
        <v>0</v>
      </c>
      <c r="O470" s="92" t="str">
        <f t="shared" si="17"/>
        <v/>
      </c>
      <c r="T470" s="97"/>
    </row>
    <row r="471" spans="1:21" ht="18" customHeight="1">
      <c r="A471" s="103"/>
      <c r="B471" s="104"/>
      <c r="C471" s="104"/>
      <c r="D471" s="104"/>
      <c r="E471" s="92"/>
      <c r="F471" s="104"/>
      <c r="G471" s="92"/>
      <c r="H471" s="90">
        <v>2050903</v>
      </c>
      <c r="I471" s="90" t="s">
        <v>160</v>
      </c>
      <c r="J471" s="143">
        <v>1056</v>
      </c>
      <c r="K471" s="143"/>
      <c r="L471" s="87">
        <v>1205</v>
      </c>
      <c r="M471" s="92" t="str">
        <f t="shared" si="16"/>
        <v/>
      </c>
      <c r="N471" s="104">
        <v>36</v>
      </c>
      <c r="O471" s="92">
        <f t="shared" si="17"/>
        <v>32.472222222222221</v>
      </c>
      <c r="T471" s="97"/>
    </row>
    <row r="472" spans="1:21" ht="18" customHeight="1">
      <c r="A472" s="103"/>
      <c r="B472" s="104"/>
      <c r="C472" s="104"/>
      <c r="D472" s="104"/>
      <c r="E472" s="92"/>
      <c r="F472" s="104"/>
      <c r="G472" s="92"/>
      <c r="H472" s="90">
        <v>2050904</v>
      </c>
      <c r="I472" s="90" t="s">
        <v>161</v>
      </c>
      <c r="J472" s="143">
        <v>806</v>
      </c>
      <c r="K472" s="143"/>
      <c r="L472" s="87">
        <v>943</v>
      </c>
      <c r="M472" s="92" t="str">
        <f t="shared" si="16"/>
        <v/>
      </c>
      <c r="N472" s="104">
        <v>0</v>
      </c>
      <c r="O472" s="92" t="str">
        <f t="shared" si="17"/>
        <v/>
      </c>
      <c r="T472" s="97"/>
    </row>
    <row r="473" spans="1:21" ht="18" customHeight="1">
      <c r="A473" s="103"/>
      <c r="B473" s="104"/>
      <c r="C473" s="104"/>
      <c r="D473" s="104"/>
      <c r="E473" s="92"/>
      <c r="F473" s="104"/>
      <c r="G473" s="92"/>
      <c r="H473" s="90">
        <v>2050905</v>
      </c>
      <c r="I473" s="90" t="s">
        <v>162</v>
      </c>
      <c r="J473" s="143">
        <v>9263</v>
      </c>
      <c r="K473" s="143"/>
      <c r="L473" s="87">
        <v>12724</v>
      </c>
      <c r="M473" s="92" t="str">
        <f t="shared" si="16"/>
        <v/>
      </c>
      <c r="N473" s="104">
        <v>2195</v>
      </c>
      <c r="O473" s="92">
        <f t="shared" si="17"/>
        <v>4.7968109339407743</v>
      </c>
      <c r="T473" s="97"/>
    </row>
    <row r="474" spans="1:21" ht="18" customHeight="1">
      <c r="A474" s="103"/>
      <c r="B474" s="104"/>
      <c r="C474" s="104"/>
      <c r="D474" s="104"/>
      <c r="E474" s="92"/>
      <c r="F474" s="104"/>
      <c r="G474" s="92"/>
      <c r="H474" s="90">
        <v>2050999</v>
      </c>
      <c r="I474" s="90" t="s">
        <v>163</v>
      </c>
      <c r="J474" s="143">
        <v>188875</v>
      </c>
      <c r="K474" s="143"/>
      <c r="L474" s="87">
        <v>27627</v>
      </c>
      <c r="M474" s="92" t="str">
        <f t="shared" si="16"/>
        <v/>
      </c>
      <c r="N474" s="104">
        <v>187296</v>
      </c>
      <c r="O474" s="92">
        <f t="shared" si="17"/>
        <v>-0.85249551512045108</v>
      </c>
      <c r="T474" s="97"/>
    </row>
    <row r="475" spans="1:21" ht="18" customHeight="1">
      <c r="A475" s="103"/>
      <c r="B475" s="104"/>
      <c r="C475" s="104"/>
      <c r="D475" s="104"/>
      <c r="E475" s="92"/>
      <c r="F475" s="104"/>
      <c r="G475" s="92"/>
      <c r="H475" s="90">
        <v>20599</v>
      </c>
      <c r="I475" s="80" t="s">
        <v>164</v>
      </c>
      <c r="J475" s="143">
        <f>1496729-500000</f>
        <v>996729</v>
      </c>
      <c r="K475" s="647">
        <v>756157</v>
      </c>
      <c r="L475" s="87">
        <v>105194</v>
      </c>
      <c r="M475" s="92">
        <f t="shared" si="16"/>
        <v>0.13911661202633843</v>
      </c>
      <c r="N475" s="104">
        <v>917048</v>
      </c>
      <c r="O475" s="92">
        <f t="shared" si="17"/>
        <v>-0.88529062818958226</v>
      </c>
      <c r="T475" s="97"/>
    </row>
    <row r="476" spans="1:21" ht="18" customHeight="1">
      <c r="A476" s="103"/>
      <c r="B476" s="104"/>
      <c r="C476" s="104"/>
      <c r="D476" s="104"/>
      <c r="E476" s="92"/>
      <c r="F476" s="104"/>
      <c r="G476" s="92"/>
      <c r="H476" s="90">
        <v>2059999</v>
      </c>
      <c r="I476" s="90" t="s">
        <v>165</v>
      </c>
      <c r="J476" s="143">
        <f>1496729-500000</f>
        <v>996729</v>
      </c>
      <c r="K476" s="143"/>
      <c r="L476" s="87">
        <v>105194</v>
      </c>
      <c r="M476" s="92" t="str">
        <f t="shared" si="16"/>
        <v/>
      </c>
      <c r="N476" s="104">
        <v>917048</v>
      </c>
      <c r="O476" s="92">
        <f t="shared" si="17"/>
        <v>-0.88529062818958226</v>
      </c>
      <c r="T476" s="97"/>
    </row>
    <row r="477" spans="1:21" s="112" customFormat="1" ht="18" customHeight="1">
      <c r="A477" s="111"/>
      <c r="B477" s="109"/>
      <c r="C477" s="109"/>
      <c r="D477" s="109"/>
      <c r="E477" s="82"/>
      <c r="F477" s="109"/>
      <c r="G477" s="82"/>
      <c r="H477" s="80">
        <v>206</v>
      </c>
      <c r="I477" s="80" t="s">
        <v>166</v>
      </c>
      <c r="J477" s="110">
        <f>2675840-2000000</f>
        <v>675840</v>
      </c>
      <c r="K477" s="656">
        <v>875209</v>
      </c>
      <c r="L477" s="77">
        <v>739274</v>
      </c>
      <c r="M477" s="82">
        <f t="shared" si="16"/>
        <v>0.84468281290526037</v>
      </c>
      <c r="N477" s="109">
        <v>793671</v>
      </c>
      <c r="O477" s="82">
        <f t="shared" si="17"/>
        <v>-6.8538475010426203E-2</v>
      </c>
      <c r="P477" s="84"/>
      <c r="T477" s="96"/>
    </row>
    <row r="478" spans="1:21" ht="18" customHeight="1">
      <c r="A478" s="103"/>
      <c r="B478" s="104"/>
      <c r="C478" s="104"/>
      <c r="D478" s="104"/>
      <c r="E478" s="92"/>
      <c r="F478" s="104"/>
      <c r="G478" s="92"/>
      <c r="H478" s="90">
        <v>20601</v>
      </c>
      <c r="I478" s="80" t="s">
        <v>167</v>
      </c>
      <c r="J478" s="143">
        <v>6713</v>
      </c>
      <c r="K478" s="647">
        <v>14230</v>
      </c>
      <c r="L478" s="87">
        <v>14230</v>
      </c>
      <c r="M478" s="92">
        <f t="shared" si="16"/>
        <v>1</v>
      </c>
      <c r="N478" s="104">
        <v>5676</v>
      </c>
      <c r="O478" s="92">
        <f t="shared" si="17"/>
        <v>1.5070472163495419</v>
      </c>
      <c r="P478" s="75" t="s">
        <v>166</v>
      </c>
      <c r="Q478" s="63">
        <v>845546</v>
      </c>
      <c r="R478" s="63">
        <v>804611</v>
      </c>
      <c r="S478" s="63">
        <v>793671</v>
      </c>
      <c r="T478" s="96" t="s">
        <v>1060</v>
      </c>
      <c r="U478" s="63">
        <v>1206245</v>
      </c>
    </row>
    <row r="479" spans="1:21" ht="18" customHeight="1">
      <c r="A479" s="103"/>
      <c r="B479" s="104"/>
      <c r="C479" s="104"/>
      <c r="D479" s="104"/>
      <c r="E479" s="92"/>
      <c r="F479" s="104"/>
      <c r="G479" s="92"/>
      <c r="H479" s="90">
        <v>2060101</v>
      </c>
      <c r="I479" s="90" t="s">
        <v>1110</v>
      </c>
      <c r="J479" s="143">
        <v>2207</v>
      </c>
      <c r="K479" s="143"/>
      <c r="L479" s="87">
        <v>2488</v>
      </c>
      <c r="M479" s="92" t="str">
        <f t="shared" si="16"/>
        <v/>
      </c>
      <c r="N479" s="104">
        <v>2380</v>
      </c>
      <c r="O479" s="92">
        <f t="shared" si="17"/>
        <v>4.5378151260504263E-2</v>
      </c>
      <c r="P479" s="75" t="s">
        <v>167</v>
      </c>
      <c r="Q479" s="63">
        <v>14724</v>
      </c>
      <c r="R479" s="63">
        <v>5676</v>
      </c>
      <c r="S479" s="63">
        <v>5676</v>
      </c>
      <c r="T479" s="97" t="s">
        <v>167</v>
      </c>
      <c r="U479" s="63">
        <v>6013</v>
      </c>
    </row>
    <row r="480" spans="1:21" ht="18" customHeight="1">
      <c r="A480" s="103"/>
      <c r="B480" s="104"/>
      <c r="C480" s="104"/>
      <c r="D480" s="104"/>
      <c r="E480" s="92"/>
      <c r="F480" s="104"/>
      <c r="G480" s="92"/>
      <c r="H480" s="90">
        <v>2060102</v>
      </c>
      <c r="I480" s="90" t="s">
        <v>1111</v>
      </c>
      <c r="J480" s="143">
        <v>1644</v>
      </c>
      <c r="K480" s="143"/>
      <c r="L480" s="87">
        <v>1618</v>
      </c>
      <c r="M480" s="92" t="str">
        <f t="shared" si="16"/>
        <v/>
      </c>
      <c r="N480" s="104">
        <v>939</v>
      </c>
      <c r="O480" s="92">
        <f t="shared" si="17"/>
        <v>0.72310969116080948</v>
      </c>
      <c r="P480" s="75" t="s">
        <v>169</v>
      </c>
      <c r="Q480" s="63">
        <v>542</v>
      </c>
      <c r="R480" s="63">
        <v>3724</v>
      </c>
      <c r="S480" s="63">
        <v>795</v>
      </c>
      <c r="T480" s="97" t="s">
        <v>169</v>
      </c>
      <c r="U480" s="63">
        <v>469</v>
      </c>
    </row>
    <row r="481" spans="1:21" ht="18" customHeight="1">
      <c r="A481" s="103"/>
      <c r="B481" s="104"/>
      <c r="C481" s="104"/>
      <c r="D481" s="104"/>
      <c r="E481" s="92"/>
      <c r="F481" s="104"/>
      <c r="G481" s="92"/>
      <c r="H481" s="90">
        <v>2060103</v>
      </c>
      <c r="I481" s="90" t="s">
        <v>1112</v>
      </c>
      <c r="J481" s="143">
        <v>0</v>
      </c>
      <c r="K481" s="143"/>
      <c r="L481" s="87">
        <v>0</v>
      </c>
      <c r="M481" s="92" t="str">
        <f t="shared" si="16"/>
        <v/>
      </c>
      <c r="N481" s="104">
        <v>0</v>
      </c>
      <c r="O481" s="92" t="str">
        <f t="shared" si="17"/>
        <v/>
      </c>
      <c r="P481" s="75" t="s">
        <v>178</v>
      </c>
      <c r="Q481" s="63">
        <v>100</v>
      </c>
      <c r="R481" s="63">
        <v>1150</v>
      </c>
      <c r="S481" s="63">
        <v>1053</v>
      </c>
      <c r="T481" s="97" t="s">
        <v>178</v>
      </c>
      <c r="U481" s="63">
        <v>668</v>
      </c>
    </row>
    <row r="482" spans="1:21" ht="18" customHeight="1">
      <c r="A482" s="103"/>
      <c r="B482" s="104"/>
      <c r="C482" s="104"/>
      <c r="D482" s="104"/>
      <c r="E482" s="92"/>
      <c r="F482" s="104"/>
      <c r="G482" s="92"/>
      <c r="H482" s="90">
        <v>2060199</v>
      </c>
      <c r="I482" s="90" t="s">
        <v>168</v>
      </c>
      <c r="J482" s="143">
        <v>2862</v>
      </c>
      <c r="K482" s="143"/>
      <c r="L482" s="87">
        <v>10124</v>
      </c>
      <c r="M482" s="92" t="str">
        <f t="shared" si="16"/>
        <v/>
      </c>
      <c r="N482" s="104">
        <v>2357</v>
      </c>
      <c r="O482" s="92">
        <f t="shared" si="17"/>
        <v>3.2952906236741617</v>
      </c>
      <c r="P482" s="75" t="s">
        <v>183</v>
      </c>
      <c r="Q482" s="63">
        <v>246338</v>
      </c>
      <c r="R482" s="63">
        <v>82462</v>
      </c>
      <c r="S482" s="63">
        <v>76388</v>
      </c>
      <c r="T482" s="97" t="s">
        <v>183</v>
      </c>
      <c r="U482" s="63">
        <v>216640</v>
      </c>
    </row>
    <row r="483" spans="1:21" ht="18" customHeight="1">
      <c r="A483" s="103"/>
      <c r="B483" s="104"/>
      <c r="C483" s="104"/>
      <c r="D483" s="104"/>
      <c r="E483" s="92"/>
      <c r="F483" s="104"/>
      <c r="G483" s="92"/>
      <c r="H483" s="90">
        <v>20602</v>
      </c>
      <c r="I483" s="80" t="s">
        <v>169</v>
      </c>
      <c r="J483" s="143">
        <v>2957</v>
      </c>
      <c r="K483" s="647">
        <v>5410</v>
      </c>
      <c r="L483" s="87">
        <v>1142</v>
      </c>
      <c r="M483" s="92">
        <f t="shared" si="16"/>
        <v>0.21109057301293901</v>
      </c>
      <c r="N483" s="104">
        <v>795</v>
      </c>
      <c r="O483" s="92">
        <f t="shared" si="17"/>
        <v>0.43647798742138355</v>
      </c>
      <c r="P483" s="75" t="s">
        <v>188</v>
      </c>
      <c r="Q483" s="63">
        <v>10526</v>
      </c>
      <c r="R483" s="63">
        <v>10899</v>
      </c>
      <c r="S483" s="63">
        <v>10899</v>
      </c>
      <c r="T483" s="97" t="s">
        <v>188</v>
      </c>
      <c r="U483" s="63">
        <v>9663</v>
      </c>
    </row>
    <row r="484" spans="1:21" ht="18" customHeight="1">
      <c r="A484" s="103"/>
      <c r="B484" s="104"/>
      <c r="C484" s="104"/>
      <c r="D484" s="104"/>
      <c r="E484" s="92"/>
      <c r="F484" s="104"/>
      <c r="G484" s="92"/>
      <c r="H484" s="90">
        <v>2060201</v>
      </c>
      <c r="I484" s="90" t="s">
        <v>170</v>
      </c>
      <c r="J484" s="143">
        <v>0</v>
      </c>
      <c r="K484" s="143"/>
      <c r="L484" s="87">
        <v>0</v>
      </c>
      <c r="M484" s="92" t="str">
        <f t="shared" si="16"/>
        <v/>
      </c>
      <c r="N484" s="104">
        <v>0</v>
      </c>
      <c r="O484" s="92" t="str">
        <f t="shared" si="17"/>
        <v/>
      </c>
      <c r="P484" s="75" t="s">
        <v>192</v>
      </c>
      <c r="Q484" s="63">
        <v>1935</v>
      </c>
      <c r="R484" s="63">
        <v>2297</v>
      </c>
      <c r="S484" s="63">
        <v>2267</v>
      </c>
      <c r="T484" s="97" t="s">
        <v>192</v>
      </c>
      <c r="U484" s="63">
        <v>2130</v>
      </c>
    </row>
    <row r="485" spans="1:21" ht="18" customHeight="1">
      <c r="A485" s="103"/>
      <c r="B485" s="104"/>
      <c r="C485" s="104"/>
      <c r="D485" s="104"/>
      <c r="E485" s="92"/>
      <c r="F485" s="104"/>
      <c r="G485" s="92"/>
      <c r="H485" s="90">
        <v>2060202</v>
      </c>
      <c r="I485" s="90" t="s">
        <v>171</v>
      </c>
      <c r="J485" s="143">
        <v>0</v>
      </c>
      <c r="K485" s="143"/>
      <c r="L485" s="87">
        <v>0</v>
      </c>
      <c r="M485" s="92" t="str">
        <f t="shared" si="16"/>
        <v/>
      </c>
      <c r="N485" s="104">
        <v>0</v>
      </c>
      <c r="O485" s="92" t="str">
        <f t="shared" si="17"/>
        <v/>
      </c>
      <c r="P485" s="75" t="s">
        <v>197</v>
      </c>
      <c r="Q485" s="63">
        <v>3869</v>
      </c>
      <c r="R485" s="63">
        <v>3787</v>
      </c>
      <c r="S485" s="63">
        <v>3787</v>
      </c>
      <c r="T485" s="97" t="s">
        <v>197</v>
      </c>
      <c r="U485" s="63">
        <v>3007</v>
      </c>
    </row>
    <row r="486" spans="1:21" ht="18" customHeight="1">
      <c r="A486" s="103"/>
      <c r="B486" s="104"/>
      <c r="C486" s="104"/>
      <c r="D486" s="104"/>
      <c r="E486" s="92"/>
      <c r="F486" s="104"/>
      <c r="G486" s="92"/>
      <c r="H486" s="90">
        <v>2060203</v>
      </c>
      <c r="I486" s="90" t="s">
        <v>172</v>
      </c>
      <c r="J486" s="143">
        <v>2957</v>
      </c>
      <c r="K486" s="143"/>
      <c r="L486" s="87">
        <v>1062</v>
      </c>
      <c r="M486" s="92" t="str">
        <f t="shared" si="16"/>
        <v/>
      </c>
      <c r="N486" s="104">
        <v>228</v>
      </c>
      <c r="O486" s="92">
        <f t="shared" si="17"/>
        <v>3.6578947368421053</v>
      </c>
      <c r="P486" s="75" t="s">
        <v>203</v>
      </c>
      <c r="Q486" s="63">
        <v>382</v>
      </c>
      <c r="R486" s="63">
        <v>440</v>
      </c>
      <c r="S486" s="63">
        <v>440</v>
      </c>
      <c r="T486" s="97" t="s">
        <v>203</v>
      </c>
      <c r="U486" s="63">
        <v>330</v>
      </c>
    </row>
    <row r="487" spans="1:21" ht="18" customHeight="1">
      <c r="A487" s="103"/>
      <c r="B487" s="104"/>
      <c r="C487" s="104"/>
      <c r="D487" s="104"/>
      <c r="E487" s="92"/>
      <c r="F487" s="104"/>
      <c r="G487" s="92"/>
      <c r="H487" s="90">
        <v>2060204</v>
      </c>
      <c r="I487" s="90" t="s">
        <v>173</v>
      </c>
      <c r="J487" s="143">
        <v>0</v>
      </c>
      <c r="K487" s="143"/>
      <c r="L487" s="87">
        <v>0</v>
      </c>
      <c r="M487" s="92" t="str">
        <f t="shared" si="16"/>
        <v/>
      </c>
      <c r="N487" s="104">
        <v>0</v>
      </c>
      <c r="O487" s="92" t="str">
        <f t="shared" si="17"/>
        <v/>
      </c>
      <c r="P487" s="75" t="s">
        <v>1023</v>
      </c>
      <c r="Q487" s="63">
        <v>310000</v>
      </c>
      <c r="R487" s="63">
        <v>200150</v>
      </c>
      <c r="S487" s="63">
        <v>200150</v>
      </c>
      <c r="T487" s="97" t="s">
        <v>1023</v>
      </c>
      <c r="U487" s="63">
        <v>579195</v>
      </c>
    </row>
    <row r="488" spans="1:21" ht="18" customHeight="1">
      <c r="A488" s="103"/>
      <c r="B488" s="104"/>
      <c r="C488" s="104"/>
      <c r="D488" s="104"/>
      <c r="E488" s="92"/>
      <c r="F488" s="104"/>
      <c r="G488" s="92"/>
      <c r="H488" s="90">
        <v>2060205</v>
      </c>
      <c r="I488" s="90" t="s">
        <v>174</v>
      </c>
      <c r="J488" s="143">
        <v>0</v>
      </c>
      <c r="K488" s="143"/>
      <c r="L488" s="87">
        <v>0</v>
      </c>
      <c r="M488" s="92" t="str">
        <f t="shared" si="16"/>
        <v/>
      </c>
      <c r="N488" s="104">
        <v>0</v>
      </c>
      <c r="O488" s="92" t="str">
        <f t="shared" si="17"/>
        <v/>
      </c>
      <c r="P488" s="75" t="s">
        <v>1024</v>
      </c>
      <c r="Q488" s="63">
        <v>257130</v>
      </c>
      <c r="R488" s="63">
        <v>494026</v>
      </c>
      <c r="S488" s="63">
        <v>492216</v>
      </c>
      <c r="T488" s="97" t="s">
        <v>1024</v>
      </c>
      <c r="U488" s="63">
        <v>388130</v>
      </c>
    </row>
    <row r="489" spans="1:21" ht="18" customHeight="1">
      <c r="A489" s="103"/>
      <c r="B489" s="104"/>
      <c r="C489" s="104"/>
      <c r="D489" s="104"/>
      <c r="E489" s="92"/>
      <c r="F489" s="104"/>
      <c r="G489" s="92"/>
      <c r="H489" s="90">
        <v>2060206</v>
      </c>
      <c r="I489" s="90" t="s">
        <v>175</v>
      </c>
      <c r="J489" s="143">
        <v>0</v>
      </c>
      <c r="K489" s="143"/>
      <c r="L489" s="87">
        <v>0</v>
      </c>
      <c r="M489" s="92" t="str">
        <f t="shared" si="16"/>
        <v/>
      </c>
      <c r="N489" s="104">
        <v>0</v>
      </c>
      <c r="O489" s="92" t="str">
        <f t="shared" si="17"/>
        <v/>
      </c>
      <c r="P489" s="75" t="s">
        <v>214</v>
      </c>
      <c r="Q489" s="63">
        <v>146478</v>
      </c>
      <c r="R489" s="63">
        <v>388354</v>
      </c>
      <c r="S489" s="63">
        <v>387994</v>
      </c>
      <c r="T489" s="97"/>
    </row>
    <row r="490" spans="1:21" ht="18" customHeight="1">
      <c r="A490" s="103"/>
      <c r="B490" s="104"/>
      <c r="C490" s="104"/>
      <c r="D490" s="104"/>
      <c r="E490" s="92"/>
      <c r="F490" s="104"/>
      <c r="G490" s="92"/>
      <c r="H490" s="90">
        <v>2060207</v>
      </c>
      <c r="I490" s="90" t="s">
        <v>176</v>
      </c>
      <c r="J490" s="143">
        <v>0</v>
      </c>
      <c r="K490" s="143"/>
      <c r="L490" s="87">
        <v>0</v>
      </c>
      <c r="M490" s="92" t="str">
        <f t="shared" si="16"/>
        <v/>
      </c>
      <c r="N490" s="104">
        <v>0</v>
      </c>
      <c r="O490" s="92" t="str">
        <f t="shared" si="17"/>
        <v/>
      </c>
      <c r="P490" s="75" t="s">
        <v>215</v>
      </c>
      <c r="Q490" s="63">
        <v>68691</v>
      </c>
      <c r="R490" s="63">
        <v>32131</v>
      </c>
      <c r="S490" s="63">
        <v>31901</v>
      </c>
      <c r="T490" s="97"/>
    </row>
    <row r="491" spans="1:21" ht="18" customHeight="1">
      <c r="A491" s="103"/>
      <c r="B491" s="104"/>
      <c r="C491" s="104"/>
      <c r="D491" s="104"/>
      <c r="E491" s="92"/>
      <c r="F491" s="104"/>
      <c r="G491" s="92"/>
      <c r="H491" s="90">
        <v>2060299</v>
      </c>
      <c r="I491" s="90" t="s">
        <v>177</v>
      </c>
      <c r="J491" s="143">
        <v>0</v>
      </c>
      <c r="K491" s="143"/>
      <c r="L491" s="87">
        <v>80</v>
      </c>
      <c r="M491" s="92" t="str">
        <f t="shared" si="16"/>
        <v/>
      </c>
      <c r="N491" s="104">
        <v>567</v>
      </c>
      <c r="O491" s="92">
        <f t="shared" si="17"/>
        <v>-0.85890652557319225</v>
      </c>
      <c r="P491" s="75" t="s">
        <v>226</v>
      </c>
      <c r="Q491" s="63">
        <v>7152</v>
      </c>
      <c r="R491" s="63">
        <v>4840</v>
      </c>
      <c r="S491" s="63">
        <v>4840</v>
      </c>
      <c r="T491" s="97"/>
    </row>
    <row r="492" spans="1:21" ht="18" customHeight="1">
      <c r="A492" s="103"/>
      <c r="B492" s="104"/>
      <c r="C492" s="104"/>
      <c r="D492" s="104"/>
      <c r="E492" s="92"/>
      <c r="F492" s="104"/>
      <c r="G492" s="92"/>
      <c r="H492" s="90">
        <v>20603</v>
      </c>
      <c r="I492" s="80" t="s">
        <v>178</v>
      </c>
      <c r="J492" s="143">
        <v>170</v>
      </c>
      <c r="K492" s="647">
        <v>3448</v>
      </c>
      <c r="L492" s="87">
        <v>524</v>
      </c>
      <c r="M492" s="92">
        <f t="shared" si="16"/>
        <v>0.1519721577726218</v>
      </c>
      <c r="N492" s="104">
        <v>1053</v>
      </c>
      <c r="O492" s="92">
        <f t="shared" si="17"/>
        <v>-0.50237416904083565</v>
      </c>
      <c r="P492" s="75" t="s">
        <v>231</v>
      </c>
      <c r="Q492" s="63">
        <v>10266</v>
      </c>
      <c r="R492" s="63">
        <v>245948</v>
      </c>
      <c r="S492" s="63">
        <v>245818</v>
      </c>
      <c r="T492" s="97"/>
    </row>
    <row r="493" spans="1:21" ht="18" customHeight="1">
      <c r="A493" s="103"/>
      <c r="B493" s="104"/>
      <c r="C493" s="104"/>
      <c r="D493" s="104"/>
      <c r="E493" s="92"/>
      <c r="F493" s="104"/>
      <c r="G493" s="92"/>
      <c r="H493" s="90">
        <v>2060301</v>
      </c>
      <c r="I493" s="90" t="s">
        <v>170</v>
      </c>
      <c r="J493" s="143">
        <v>0</v>
      </c>
      <c r="K493" s="143"/>
      <c r="L493" s="87">
        <v>0</v>
      </c>
      <c r="M493" s="92" t="str">
        <f t="shared" si="16"/>
        <v/>
      </c>
      <c r="N493" s="104">
        <v>0</v>
      </c>
      <c r="O493" s="92" t="str">
        <f t="shared" si="17"/>
        <v/>
      </c>
      <c r="P493" s="75" t="s">
        <v>239</v>
      </c>
      <c r="Q493" s="63">
        <v>3345</v>
      </c>
      <c r="R493" s="63">
        <v>3169</v>
      </c>
      <c r="S493" s="63">
        <v>3169</v>
      </c>
      <c r="T493" s="97"/>
    </row>
    <row r="494" spans="1:21" ht="18" customHeight="1">
      <c r="A494" s="103"/>
      <c r="B494" s="104"/>
      <c r="C494" s="104"/>
      <c r="D494" s="104"/>
      <c r="E494" s="92"/>
      <c r="F494" s="104"/>
      <c r="G494" s="92"/>
      <c r="H494" s="90">
        <v>2060302</v>
      </c>
      <c r="I494" s="90" t="s">
        <v>179</v>
      </c>
      <c r="J494" s="143">
        <v>100</v>
      </c>
      <c r="K494" s="143"/>
      <c r="L494" s="87">
        <v>290</v>
      </c>
      <c r="M494" s="92" t="str">
        <f t="shared" si="16"/>
        <v/>
      </c>
      <c r="N494" s="104">
        <v>50</v>
      </c>
      <c r="O494" s="92">
        <f t="shared" si="17"/>
        <v>4.8</v>
      </c>
      <c r="P494" s="75" t="s">
        <v>245</v>
      </c>
      <c r="Q494" s="63">
        <v>110</v>
      </c>
      <c r="R494" s="63">
        <v>137</v>
      </c>
      <c r="S494" s="63">
        <v>137</v>
      </c>
      <c r="T494" s="97"/>
    </row>
    <row r="495" spans="1:21" ht="18" customHeight="1">
      <c r="A495" s="103"/>
      <c r="B495" s="104"/>
      <c r="C495" s="104"/>
      <c r="D495" s="104"/>
      <c r="E495" s="92"/>
      <c r="F495" s="104"/>
      <c r="G495" s="92"/>
      <c r="H495" s="90">
        <v>2060303</v>
      </c>
      <c r="I495" s="90" t="s">
        <v>180</v>
      </c>
      <c r="J495" s="143">
        <v>70</v>
      </c>
      <c r="K495" s="143"/>
      <c r="L495" s="87">
        <v>234</v>
      </c>
      <c r="M495" s="92" t="str">
        <f t="shared" si="16"/>
        <v/>
      </c>
      <c r="N495" s="104">
        <v>1003</v>
      </c>
      <c r="O495" s="92">
        <f t="shared" si="17"/>
        <v>-0.76669990029910273</v>
      </c>
      <c r="P495" s="75" t="s">
        <v>1025</v>
      </c>
      <c r="Q495" s="63">
        <v>56914</v>
      </c>
      <c r="R495" s="63">
        <v>102129</v>
      </c>
      <c r="S495" s="63">
        <v>102129</v>
      </c>
      <c r="T495" s="97"/>
    </row>
    <row r="496" spans="1:21" ht="18" customHeight="1">
      <c r="A496" s="103"/>
      <c r="B496" s="104"/>
      <c r="C496" s="104"/>
      <c r="D496" s="104"/>
      <c r="E496" s="92"/>
      <c r="F496" s="104"/>
      <c r="G496" s="92"/>
      <c r="H496" s="90">
        <v>2060304</v>
      </c>
      <c r="I496" s="90" t="s">
        <v>181</v>
      </c>
      <c r="J496" s="143">
        <v>0</v>
      </c>
      <c r="K496" s="143"/>
      <c r="L496" s="87">
        <v>0</v>
      </c>
      <c r="M496" s="92" t="str">
        <f t="shared" si="16"/>
        <v/>
      </c>
      <c r="N496" s="104">
        <v>0</v>
      </c>
      <c r="O496" s="92" t="str">
        <f t="shared" si="17"/>
        <v/>
      </c>
      <c r="P496" s="75" t="s">
        <v>255</v>
      </c>
      <c r="Q496" s="63">
        <v>366200</v>
      </c>
      <c r="R496" s="63">
        <v>310496</v>
      </c>
      <c r="S496" s="63">
        <v>294487</v>
      </c>
      <c r="T496" s="97"/>
    </row>
    <row r="497" spans="1:20" ht="18" customHeight="1">
      <c r="A497" s="103"/>
      <c r="B497" s="104"/>
      <c r="C497" s="104"/>
      <c r="D497" s="104"/>
      <c r="E497" s="92"/>
      <c r="F497" s="104"/>
      <c r="G497" s="92"/>
      <c r="H497" s="90">
        <v>2060399</v>
      </c>
      <c r="I497" s="90" t="s">
        <v>182</v>
      </c>
      <c r="J497" s="143">
        <v>0</v>
      </c>
      <c r="K497" s="143"/>
      <c r="L497" s="87">
        <v>0</v>
      </c>
      <c r="M497" s="92" t="str">
        <f t="shared" si="16"/>
        <v/>
      </c>
      <c r="N497" s="104">
        <v>0</v>
      </c>
      <c r="O497" s="92" t="str">
        <f t="shared" si="17"/>
        <v/>
      </c>
      <c r="P497" s="75" t="s">
        <v>256</v>
      </c>
      <c r="Q497" s="63">
        <v>50959</v>
      </c>
      <c r="R497" s="63">
        <v>52383</v>
      </c>
      <c r="S497" s="63">
        <v>52383</v>
      </c>
      <c r="T497" s="97"/>
    </row>
    <row r="498" spans="1:20" ht="18" customHeight="1">
      <c r="A498" s="103"/>
      <c r="B498" s="104"/>
      <c r="C498" s="104"/>
      <c r="D498" s="104"/>
      <c r="E498" s="92"/>
      <c r="F498" s="104"/>
      <c r="G498" s="92"/>
      <c r="H498" s="90">
        <v>20604</v>
      </c>
      <c r="I498" s="80" t="s">
        <v>183</v>
      </c>
      <c r="J498" s="143">
        <v>243646</v>
      </c>
      <c r="K498" s="647">
        <v>254452</v>
      </c>
      <c r="L498" s="87">
        <v>217020</v>
      </c>
      <c r="M498" s="92">
        <f t="shared" si="16"/>
        <v>0.85289170452580443</v>
      </c>
      <c r="N498" s="104">
        <v>76388</v>
      </c>
      <c r="O498" s="92">
        <f t="shared" si="17"/>
        <v>1.8410221500759283</v>
      </c>
      <c r="P498" s="75" t="s">
        <v>266</v>
      </c>
      <c r="Q498" s="63">
        <v>9656</v>
      </c>
      <c r="R498" s="63">
        <v>9663</v>
      </c>
      <c r="S498" s="63">
        <v>9621</v>
      </c>
      <c r="T498" s="97"/>
    </row>
    <row r="499" spans="1:20" ht="18" customHeight="1">
      <c r="A499" s="103"/>
      <c r="B499" s="104"/>
      <c r="C499" s="104"/>
      <c r="D499" s="104"/>
      <c r="E499" s="92"/>
      <c r="F499" s="104"/>
      <c r="G499" s="92"/>
      <c r="H499" s="90">
        <v>2060401</v>
      </c>
      <c r="I499" s="90" t="s">
        <v>170</v>
      </c>
      <c r="J499" s="143">
        <v>271</v>
      </c>
      <c r="K499" s="143"/>
      <c r="L499" s="87">
        <v>269</v>
      </c>
      <c r="M499" s="92" t="str">
        <f t="shared" si="16"/>
        <v/>
      </c>
      <c r="N499" s="104">
        <v>262</v>
      </c>
      <c r="O499" s="92">
        <f t="shared" si="17"/>
        <v>2.6717557251908497E-2</v>
      </c>
      <c r="P499" s="75" t="s">
        <v>274</v>
      </c>
      <c r="Q499" s="63">
        <v>10784</v>
      </c>
      <c r="R499" s="63">
        <v>15402</v>
      </c>
      <c r="S499" s="63">
        <v>10911</v>
      </c>
      <c r="T499" s="97"/>
    </row>
    <row r="500" spans="1:20" ht="18" customHeight="1">
      <c r="A500" s="103"/>
      <c r="B500" s="104"/>
      <c r="C500" s="104"/>
      <c r="D500" s="104"/>
      <c r="E500" s="92"/>
      <c r="F500" s="104"/>
      <c r="G500" s="92"/>
      <c r="H500" s="90">
        <v>2060402</v>
      </c>
      <c r="I500" s="90" t="s">
        <v>184</v>
      </c>
      <c r="J500" s="143">
        <v>0</v>
      </c>
      <c r="K500" s="143"/>
      <c r="L500" s="87">
        <v>6900</v>
      </c>
      <c r="M500" s="92" t="str">
        <f t="shared" si="16"/>
        <v/>
      </c>
      <c r="N500" s="104">
        <v>20</v>
      </c>
      <c r="O500" s="92">
        <f t="shared" si="17"/>
        <v>344</v>
      </c>
      <c r="P500" s="75" t="s">
        <v>282</v>
      </c>
      <c r="Q500" s="63">
        <v>0</v>
      </c>
      <c r="R500" s="63">
        <v>0</v>
      </c>
      <c r="S500" s="63">
        <v>0</v>
      </c>
      <c r="T500" s="97"/>
    </row>
    <row r="501" spans="1:20" ht="18" customHeight="1">
      <c r="A501" s="103"/>
      <c r="B501" s="104"/>
      <c r="C501" s="104"/>
      <c r="D501" s="104"/>
      <c r="E501" s="92"/>
      <c r="F501" s="104"/>
      <c r="G501" s="92"/>
      <c r="H501" s="90">
        <v>2060403</v>
      </c>
      <c r="I501" s="90" t="s">
        <v>185</v>
      </c>
      <c r="J501" s="143">
        <v>3351</v>
      </c>
      <c r="K501" s="143"/>
      <c r="L501" s="87">
        <v>78643</v>
      </c>
      <c r="M501" s="92" t="str">
        <f t="shared" si="16"/>
        <v/>
      </c>
      <c r="N501" s="104">
        <v>12834</v>
      </c>
      <c r="O501" s="92">
        <f t="shared" si="17"/>
        <v>5.1277076515505691</v>
      </c>
      <c r="P501" s="75" t="s">
        <v>284</v>
      </c>
      <c r="Q501" s="63">
        <v>115529</v>
      </c>
      <c r="R501" s="63">
        <v>114457</v>
      </c>
      <c r="S501" s="63">
        <v>114457</v>
      </c>
      <c r="T501" s="97"/>
    </row>
    <row r="502" spans="1:20" ht="18" customHeight="1">
      <c r="A502" s="103"/>
      <c r="B502" s="104"/>
      <c r="C502" s="104"/>
      <c r="D502" s="104"/>
      <c r="E502" s="92"/>
      <c r="F502" s="104"/>
      <c r="G502" s="92"/>
      <c r="H502" s="90">
        <v>2060404</v>
      </c>
      <c r="I502" s="90" t="s">
        <v>186</v>
      </c>
      <c r="J502" s="143">
        <v>0</v>
      </c>
      <c r="K502" s="143"/>
      <c r="L502" s="87">
        <v>0</v>
      </c>
      <c r="M502" s="92" t="str">
        <f t="shared" si="16"/>
        <v/>
      </c>
      <c r="N502" s="104">
        <v>0</v>
      </c>
      <c r="O502" s="92" t="str">
        <f t="shared" si="17"/>
        <v/>
      </c>
      <c r="P502" s="75" t="s">
        <v>290</v>
      </c>
      <c r="Q502" s="63">
        <v>0</v>
      </c>
      <c r="R502" s="63">
        <v>0</v>
      </c>
      <c r="S502" s="63">
        <v>0</v>
      </c>
      <c r="T502" s="97"/>
    </row>
    <row r="503" spans="1:20" ht="18" customHeight="1">
      <c r="A503" s="103"/>
      <c r="B503" s="104"/>
      <c r="C503" s="104"/>
      <c r="D503" s="104"/>
      <c r="E503" s="92"/>
      <c r="F503" s="104"/>
      <c r="G503" s="92"/>
      <c r="H503" s="90">
        <v>2060499</v>
      </c>
      <c r="I503" s="90" t="s">
        <v>187</v>
      </c>
      <c r="J503" s="143">
        <v>240024</v>
      </c>
      <c r="K503" s="143"/>
      <c r="L503" s="87">
        <v>131208</v>
      </c>
      <c r="M503" s="92" t="str">
        <f t="shared" si="16"/>
        <v/>
      </c>
      <c r="N503" s="104">
        <v>63272</v>
      </c>
      <c r="O503" s="92">
        <f t="shared" si="17"/>
        <v>1.0737134909596664</v>
      </c>
      <c r="P503" s="75" t="s">
        <v>294</v>
      </c>
      <c r="Q503" s="63">
        <v>14953</v>
      </c>
      <c r="R503" s="63">
        <v>3391</v>
      </c>
      <c r="S503" s="63">
        <v>1285</v>
      </c>
      <c r="T503" s="97"/>
    </row>
    <row r="504" spans="1:20" ht="18" customHeight="1">
      <c r="A504" s="103"/>
      <c r="B504" s="104"/>
      <c r="C504" s="104"/>
      <c r="D504" s="104"/>
      <c r="E504" s="92"/>
      <c r="F504" s="104"/>
      <c r="G504" s="92"/>
      <c r="H504" s="90">
        <v>20605</v>
      </c>
      <c r="I504" s="80" t="s">
        <v>188</v>
      </c>
      <c r="J504" s="143">
        <v>14673</v>
      </c>
      <c r="K504" s="647">
        <v>43188</v>
      </c>
      <c r="L504" s="87">
        <v>33438</v>
      </c>
      <c r="M504" s="92">
        <f t="shared" si="16"/>
        <v>0.77424284523478748</v>
      </c>
      <c r="N504" s="104">
        <v>10899</v>
      </c>
      <c r="O504" s="92">
        <f t="shared" si="17"/>
        <v>2.0679878887971372</v>
      </c>
      <c r="P504" s="75" t="s">
        <v>308</v>
      </c>
      <c r="Q504" s="63">
        <v>1210</v>
      </c>
      <c r="R504" s="63">
        <v>3224</v>
      </c>
      <c r="S504" s="63">
        <v>1364</v>
      </c>
      <c r="T504" s="97"/>
    </row>
    <row r="505" spans="1:20" ht="18" customHeight="1">
      <c r="A505" s="103"/>
      <c r="B505" s="104"/>
      <c r="C505" s="104"/>
      <c r="D505" s="104"/>
      <c r="E505" s="92"/>
      <c r="F505" s="104"/>
      <c r="G505" s="92"/>
      <c r="H505" s="90">
        <v>2060501</v>
      </c>
      <c r="I505" s="90" t="s">
        <v>170</v>
      </c>
      <c r="J505" s="143">
        <v>3084</v>
      </c>
      <c r="K505" s="143"/>
      <c r="L505" s="87">
        <v>3575</v>
      </c>
      <c r="M505" s="92" t="str">
        <f t="shared" si="16"/>
        <v/>
      </c>
      <c r="N505" s="104">
        <v>3093</v>
      </c>
      <c r="O505" s="92">
        <f t="shared" si="17"/>
        <v>0.15583575816359518</v>
      </c>
      <c r="P505" s="75" t="s">
        <v>316</v>
      </c>
      <c r="Q505" s="63">
        <v>31972</v>
      </c>
      <c r="R505" s="63">
        <v>26026</v>
      </c>
      <c r="S505" s="63">
        <v>20507</v>
      </c>
      <c r="T505" s="97"/>
    </row>
    <row r="506" spans="1:20" ht="18" customHeight="1">
      <c r="A506" s="103"/>
      <c r="B506" s="104"/>
      <c r="C506" s="104"/>
      <c r="D506" s="104"/>
      <c r="E506" s="92"/>
      <c r="F506" s="104"/>
      <c r="G506" s="92"/>
      <c r="H506" s="90">
        <v>2060502</v>
      </c>
      <c r="I506" s="90" t="s">
        <v>189</v>
      </c>
      <c r="J506" s="143">
        <v>939</v>
      </c>
      <c r="K506" s="143"/>
      <c r="L506" s="87">
        <v>10562</v>
      </c>
      <c r="M506" s="92" t="str">
        <f t="shared" si="16"/>
        <v/>
      </c>
      <c r="N506" s="104">
        <v>888</v>
      </c>
      <c r="O506" s="92">
        <f t="shared" si="17"/>
        <v>10.894144144144144</v>
      </c>
      <c r="P506" s="75" t="s">
        <v>322</v>
      </c>
      <c r="Q506" s="63">
        <v>7214</v>
      </c>
      <c r="R506" s="63">
        <v>7727</v>
      </c>
      <c r="S506" s="63">
        <v>7643</v>
      </c>
      <c r="T506" s="97"/>
    </row>
    <row r="507" spans="1:20" ht="18" customHeight="1">
      <c r="A507" s="103"/>
      <c r="B507" s="104"/>
      <c r="C507" s="104"/>
      <c r="D507" s="104"/>
      <c r="E507" s="92"/>
      <c r="F507" s="104"/>
      <c r="G507" s="92"/>
      <c r="H507" s="90">
        <v>2060503</v>
      </c>
      <c r="I507" s="90" t="s">
        <v>190</v>
      </c>
      <c r="J507" s="143">
        <v>0</v>
      </c>
      <c r="K507" s="143"/>
      <c r="L507" s="87">
        <v>0</v>
      </c>
      <c r="M507" s="92" t="str">
        <f t="shared" si="16"/>
        <v/>
      </c>
      <c r="N507" s="104">
        <v>0</v>
      </c>
      <c r="O507" s="92" t="str">
        <f t="shared" si="17"/>
        <v/>
      </c>
      <c r="T507" s="97"/>
    </row>
    <row r="508" spans="1:20" ht="18" customHeight="1">
      <c r="A508" s="103"/>
      <c r="B508" s="104"/>
      <c r="C508" s="104"/>
      <c r="D508" s="104"/>
      <c r="E508" s="92"/>
      <c r="F508" s="104"/>
      <c r="G508" s="92"/>
      <c r="H508" s="90">
        <v>2060599</v>
      </c>
      <c r="I508" s="90" t="s">
        <v>191</v>
      </c>
      <c r="J508" s="143">
        <v>10650</v>
      </c>
      <c r="K508" s="143"/>
      <c r="L508" s="87">
        <v>19301</v>
      </c>
      <c r="M508" s="92" t="str">
        <f t="shared" si="16"/>
        <v/>
      </c>
      <c r="N508" s="104">
        <v>6918</v>
      </c>
      <c r="O508" s="92">
        <f t="shared" si="17"/>
        <v>1.7899681989014167</v>
      </c>
      <c r="T508" s="97"/>
    </row>
    <row r="509" spans="1:20" ht="18" customHeight="1">
      <c r="A509" s="103"/>
      <c r="B509" s="104"/>
      <c r="C509" s="104"/>
      <c r="D509" s="104"/>
      <c r="E509" s="92"/>
      <c r="F509" s="104"/>
      <c r="G509" s="92"/>
      <c r="H509" s="90">
        <v>20606</v>
      </c>
      <c r="I509" s="80" t="s">
        <v>192</v>
      </c>
      <c r="J509" s="143">
        <v>2382</v>
      </c>
      <c r="K509" s="647">
        <v>43272</v>
      </c>
      <c r="L509" s="87">
        <v>19671</v>
      </c>
      <c r="M509" s="92">
        <f t="shared" si="16"/>
        <v>0.45458957293399888</v>
      </c>
      <c r="N509" s="104">
        <v>2267</v>
      </c>
      <c r="O509" s="92">
        <f t="shared" si="17"/>
        <v>7.6771063078958974</v>
      </c>
      <c r="T509" s="97"/>
    </row>
    <row r="510" spans="1:20" ht="18" customHeight="1">
      <c r="A510" s="103"/>
      <c r="B510" s="104"/>
      <c r="C510" s="104"/>
      <c r="D510" s="104"/>
      <c r="E510" s="92"/>
      <c r="F510" s="104"/>
      <c r="G510" s="92"/>
      <c r="H510" s="90">
        <v>2060601</v>
      </c>
      <c r="I510" s="90" t="s">
        <v>193</v>
      </c>
      <c r="J510" s="143">
        <v>1196</v>
      </c>
      <c r="K510" s="143"/>
      <c r="L510" s="87">
        <v>1382</v>
      </c>
      <c r="M510" s="92" t="str">
        <f t="shared" si="16"/>
        <v/>
      </c>
      <c r="N510" s="104">
        <v>1140</v>
      </c>
      <c r="O510" s="92">
        <f t="shared" si="17"/>
        <v>0.21228070175438596</v>
      </c>
      <c r="T510" s="97"/>
    </row>
    <row r="511" spans="1:20" ht="18" customHeight="1">
      <c r="A511" s="103"/>
      <c r="B511" s="104"/>
      <c r="C511" s="104"/>
      <c r="D511" s="104"/>
      <c r="E511" s="92"/>
      <c r="F511" s="104"/>
      <c r="G511" s="92"/>
      <c r="H511" s="90">
        <v>2060602</v>
      </c>
      <c r="I511" s="90" t="s">
        <v>194</v>
      </c>
      <c r="J511" s="143">
        <v>807</v>
      </c>
      <c r="K511" s="143"/>
      <c r="L511" s="87">
        <v>736</v>
      </c>
      <c r="M511" s="92" t="str">
        <f t="shared" si="16"/>
        <v/>
      </c>
      <c r="N511" s="104">
        <v>751</v>
      </c>
      <c r="O511" s="92">
        <f t="shared" si="17"/>
        <v>-1.9973368841544659E-2</v>
      </c>
      <c r="T511" s="97"/>
    </row>
    <row r="512" spans="1:20" ht="18" customHeight="1">
      <c r="A512" s="103"/>
      <c r="B512" s="104"/>
      <c r="C512" s="104"/>
      <c r="D512" s="104"/>
      <c r="E512" s="92"/>
      <c r="F512" s="104"/>
      <c r="G512" s="92"/>
      <c r="H512" s="90">
        <v>2060603</v>
      </c>
      <c r="I512" s="90" t="s">
        <v>195</v>
      </c>
      <c r="J512" s="143">
        <v>0</v>
      </c>
      <c r="K512" s="143"/>
      <c r="L512" s="87">
        <v>0</v>
      </c>
      <c r="M512" s="92" t="str">
        <f t="shared" si="16"/>
        <v/>
      </c>
      <c r="N512" s="104">
        <v>0</v>
      </c>
      <c r="O512" s="92" t="str">
        <f t="shared" si="17"/>
        <v/>
      </c>
      <c r="T512" s="97"/>
    </row>
    <row r="513" spans="1:20" ht="18" customHeight="1">
      <c r="A513" s="103"/>
      <c r="B513" s="104"/>
      <c r="C513" s="104"/>
      <c r="D513" s="104"/>
      <c r="E513" s="92"/>
      <c r="F513" s="104"/>
      <c r="G513" s="92"/>
      <c r="H513" s="90">
        <v>2060699</v>
      </c>
      <c r="I513" s="90" t="s">
        <v>196</v>
      </c>
      <c r="J513" s="143">
        <v>379</v>
      </c>
      <c r="K513" s="143"/>
      <c r="L513" s="87">
        <v>17553</v>
      </c>
      <c r="M513" s="92" t="str">
        <f t="shared" si="16"/>
        <v/>
      </c>
      <c r="N513" s="104">
        <v>376</v>
      </c>
      <c r="O513" s="92">
        <f t="shared" si="17"/>
        <v>45.683510638297875</v>
      </c>
      <c r="T513" s="97"/>
    </row>
    <row r="514" spans="1:20" ht="18" customHeight="1">
      <c r="A514" s="103"/>
      <c r="B514" s="104"/>
      <c r="C514" s="104"/>
      <c r="D514" s="104"/>
      <c r="E514" s="92"/>
      <c r="F514" s="104"/>
      <c r="G514" s="92"/>
      <c r="H514" s="90">
        <v>20607</v>
      </c>
      <c r="I514" s="80" t="s">
        <v>197</v>
      </c>
      <c r="J514" s="143">
        <v>5227</v>
      </c>
      <c r="K514" s="647">
        <v>4249</v>
      </c>
      <c r="L514" s="87">
        <v>4245</v>
      </c>
      <c r="M514" s="92">
        <f t="shared" si="16"/>
        <v>0.99905860202400565</v>
      </c>
      <c r="N514" s="104">
        <v>3787</v>
      </c>
      <c r="O514" s="92">
        <f t="shared" si="17"/>
        <v>0.12094005809347763</v>
      </c>
      <c r="T514" s="97"/>
    </row>
    <row r="515" spans="1:20" ht="18" customHeight="1">
      <c r="A515" s="103"/>
      <c r="B515" s="104"/>
      <c r="C515" s="104"/>
      <c r="D515" s="104"/>
      <c r="E515" s="92"/>
      <c r="F515" s="104"/>
      <c r="G515" s="92"/>
      <c r="H515" s="90">
        <v>2060701</v>
      </c>
      <c r="I515" s="90" t="s">
        <v>170</v>
      </c>
      <c r="J515" s="143">
        <v>962</v>
      </c>
      <c r="K515" s="143"/>
      <c r="L515" s="87">
        <v>915</v>
      </c>
      <c r="M515" s="92" t="str">
        <f t="shared" si="16"/>
        <v/>
      </c>
      <c r="N515" s="104">
        <v>997</v>
      </c>
      <c r="O515" s="92">
        <f t="shared" si="17"/>
        <v>-8.2246740220662029E-2</v>
      </c>
      <c r="T515" s="97"/>
    </row>
    <row r="516" spans="1:20" ht="18" customHeight="1">
      <c r="A516" s="103"/>
      <c r="B516" s="104"/>
      <c r="C516" s="104"/>
      <c r="D516" s="104"/>
      <c r="E516" s="92"/>
      <c r="F516" s="104"/>
      <c r="G516" s="92"/>
      <c r="H516" s="90">
        <v>2060702</v>
      </c>
      <c r="I516" s="90" t="s">
        <v>198</v>
      </c>
      <c r="J516" s="143">
        <v>1232</v>
      </c>
      <c r="K516" s="143"/>
      <c r="L516" s="87">
        <v>1282</v>
      </c>
      <c r="M516" s="92" t="str">
        <f t="shared" si="16"/>
        <v/>
      </c>
      <c r="N516" s="104">
        <v>1170</v>
      </c>
      <c r="O516" s="92">
        <f t="shared" si="17"/>
        <v>9.572649572649583E-2</v>
      </c>
      <c r="T516" s="97"/>
    </row>
    <row r="517" spans="1:20" ht="18" customHeight="1">
      <c r="A517" s="103"/>
      <c r="B517" s="104"/>
      <c r="C517" s="104"/>
      <c r="D517" s="104"/>
      <c r="E517" s="92"/>
      <c r="F517" s="104"/>
      <c r="G517" s="92"/>
      <c r="H517" s="90">
        <v>2060703</v>
      </c>
      <c r="I517" s="90" t="s">
        <v>199</v>
      </c>
      <c r="J517" s="143">
        <v>621</v>
      </c>
      <c r="K517" s="143"/>
      <c r="L517" s="87">
        <v>533</v>
      </c>
      <c r="M517" s="92" t="str">
        <f t="shared" si="16"/>
        <v/>
      </c>
      <c r="N517" s="104">
        <v>486</v>
      </c>
      <c r="O517" s="92">
        <f t="shared" si="17"/>
        <v>9.6707818930041212E-2</v>
      </c>
      <c r="T517" s="97"/>
    </row>
    <row r="518" spans="1:20" ht="18" customHeight="1">
      <c r="A518" s="103"/>
      <c r="B518" s="104"/>
      <c r="C518" s="104"/>
      <c r="D518" s="104"/>
      <c r="E518" s="92"/>
      <c r="F518" s="104"/>
      <c r="G518" s="92"/>
      <c r="H518" s="90">
        <v>2060704</v>
      </c>
      <c r="I518" s="90" t="s">
        <v>200</v>
      </c>
      <c r="J518" s="143">
        <v>165</v>
      </c>
      <c r="K518" s="143"/>
      <c r="L518" s="87">
        <v>165</v>
      </c>
      <c r="M518" s="92" t="str">
        <f t="shared" ref="M518:M581" si="18">+IF(ISERROR(L518/K518),"",L518/K518)</f>
        <v/>
      </c>
      <c r="N518" s="104">
        <v>192</v>
      </c>
      <c r="O518" s="92">
        <f t="shared" si="17"/>
        <v>-0.140625</v>
      </c>
      <c r="T518" s="97"/>
    </row>
    <row r="519" spans="1:20" ht="18" customHeight="1">
      <c r="A519" s="103"/>
      <c r="B519" s="104"/>
      <c r="C519" s="104"/>
      <c r="D519" s="104"/>
      <c r="E519" s="92"/>
      <c r="F519" s="104"/>
      <c r="G519" s="92"/>
      <c r="H519" s="90">
        <v>2060705</v>
      </c>
      <c r="I519" s="90" t="s">
        <v>201</v>
      </c>
      <c r="J519" s="143">
        <v>616</v>
      </c>
      <c r="K519" s="143"/>
      <c r="L519" s="87">
        <v>766</v>
      </c>
      <c r="M519" s="92" t="str">
        <f t="shared" si="18"/>
        <v/>
      </c>
      <c r="N519" s="104">
        <v>494</v>
      </c>
      <c r="O519" s="92">
        <f t="shared" ref="O519:O582" si="19">IF(ISERROR(L519/N519-1),"",(L519/N519-1))</f>
        <v>0.5506072874493928</v>
      </c>
      <c r="T519" s="97"/>
    </row>
    <row r="520" spans="1:20" ht="18" customHeight="1">
      <c r="A520" s="103"/>
      <c r="B520" s="104"/>
      <c r="C520" s="104"/>
      <c r="D520" s="104"/>
      <c r="E520" s="92"/>
      <c r="F520" s="104"/>
      <c r="G520" s="92"/>
      <c r="H520" s="90">
        <v>2060799</v>
      </c>
      <c r="I520" s="90" t="s">
        <v>202</v>
      </c>
      <c r="J520" s="143">
        <v>1631</v>
      </c>
      <c r="K520" s="143"/>
      <c r="L520" s="87">
        <v>584</v>
      </c>
      <c r="M520" s="92" t="str">
        <f t="shared" si="18"/>
        <v/>
      </c>
      <c r="N520" s="104">
        <v>448</v>
      </c>
      <c r="O520" s="92">
        <f t="shared" si="19"/>
        <v>0.3035714285714286</v>
      </c>
      <c r="T520" s="97"/>
    </row>
    <row r="521" spans="1:20" ht="18" customHeight="1">
      <c r="A521" s="103"/>
      <c r="B521" s="104"/>
      <c r="C521" s="104"/>
      <c r="D521" s="104"/>
      <c r="E521" s="92"/>
      <c r="F521" s="104"/>
      <c r="G521" s="92"/>
      <c r="H521" s="90">
        <v>20608</v>
      </c>
      <c r="I521" s="80" t="s">
        <v>203</v>
      </c>
      <c r="J521" s="108">
        <v>397</v>
      </c>
      <c r="K521" s="647">
        <v>657</v>
      </c>
      <c r="L521" s="87">
        <v>657</v>
      </c>
      <c r="M521" s="92">
        <f t="shared" si="18"/>
        <v>1</v>
      </c>
      <c r="N521" s="104">
        <v>440</v>
      </c>
      <c r="O521" s="92">
        <f t="shared" si="19"/>
        <v>0.49318181818181817</v>
      </c>
      <c r="T521" s="97"/>
    </row>
    <row r="522" spans="1:20" ht="18" customHeight="1">
      <c r="A522" s="103"/>
      <c r="B522" s="104"/>
      <c r="C522" s="104"/>
      <c r="D522" s="104"/>
      <c r="E522" s="92"/>
      <c r="F522" s="104"/>
      <c r="G522" s="92"/>
      <c r="H522" s="90">
        <v>2060801</v>
      </c>
      <c r="I522" s="90" t="s">
        <v>204</v>
      </c>
      <c r="J522" s="143">
        <v>0</v>
      </c>
      <c r="K522" s="143"/>
      <c r="L522" s="87">
        <v>0</v>
      </c>
      <c r="M522" s="92" t="str">
        <f t="shared" si="18"/>
        <v/>
      </c>
      <c r="N522" s="104">
        <v>0</v>
      </c>
      <c r="O522" s="92" t="str">
        <f t="shared" si="19"/>
        <v/>
      </c>
      <c r="T522" s="97"/>
    </row>
    <row r="523" spans="1:20" ht="18" customHeight="1">
      <c r="A523" s="103"/>
      <c r="B523" s="104"/>
      <c r="C523" s="104"/>
      <c r="D523" s="104"/>
      <c r="E523" s="92"/>
      <c r="F523" s="104"/>
      <c r="G523" s="92"/>
      <c r="H523" s="90">
        <v>2060802</v>
      </c>
      <c r="I523" s="90" t="s">
        <v>205</v>
      </c>
      <c r="J523" s="143">
        <v>0</v>
      </c>
      <c r="K523" s="143"/>
      <c r="L523" s="87">
        <v>0</v>
      </c>
      <c r="M523" s="92" t="str">
        <f t="shared" si="18"/>
        <v/>
      </c>
      <c r="N523" s="104">
        <v>0</v>
      </c>
      <c r="O523" s="92" t="str">
        <f t="shared" si="19"/>
        <v/>
      </c>
      <c r="T523" s="97"/>
    </row>
    <row r="524" spans="1:20" ht="18" customHeight="1">
      <c r="A524" s="103"/>
      <c r="B524" s="104"/>
      <c r="C524" s="104"/>
      <c r="D524" s="104"/>
      <c r="E524" s="92"/>
      <c r="F524" s="104"/>
      <c r="G524" s="92"/>
      <c r="H524" s="90">
        <v>2060899</v>
      </c>
      <c r="I524" s="90" t="s">
        <v>206</v>
      </c>
      <c r="J524" s="143">
        <v>397</v>
      </c>
      <c r="K524" s="143"/>
      <c r="L524" s="87">
        <v>657</v>
      </c>
      <c r="M524" s="92" t="str">
        <f t="shared" si="18"/>
        <v/>
      </c>
      <c r="N524" s="104">
        <v>440</v>
      </c>
      <c r="O524" s="92">
        <f t="shared" si="19"/>
        <v>0.49318181818181817</v>
      </c>
      <c r="T524" s="97"/>
    </row>
    <row r="525" spans="1:20" ht="18" customHeight="1">
      <c r="A525" s="103"/>
      <c r="B525" s="104"/>
      <c r="C525" s="104"/>
      <c r="D525" s="104"/>
      <c r="E525" s="92"/>
      <c r="F525" s="104"/>
      <c r="G525" s="92"/>
      <c r="H525" s="90">
        <v>20609</v>
      </c>
      <c r="I525" s="80" t="s">
        <v>207</v>
      </c>
      <c r="J525" s="143">
        <v>240000</v>
      </c>
      <c r="K525" s="647">
        <v>14313</v>
      </c>
      <c r="L525" s="87">
        <v>14313</v>
      </c>
      <c r="M525" s="92">
        <f t="shared" si="18"/>
        <v>1</v>
      </c>
      <c r="N525" s="104">
        <v>200150</v>
      </c>
      <c r="O525" s="92">
        <f t="shared" si="19"/>
        <v>-0.92848863352485633</v>
      </c>
      <c r="T525" s="97"/>
    </row>
    <row r="526" spans="1:20" ht="18" customHeight="1">
      <c r="A526" s="103"/>
      <c r="B526" s="104"/>
      <c r="C526" s="104"/>
      <c r="D526" s="104"/>
      <c r="E526" s="92"/>
      <c r="F526" s="104"/>
      <c r="G526" s="92"/>
      <c r="H526" s="90">
        <v>2060901</v>
      </c>
      <c r="I526" s="90" t="s">
        <v>208</v>
      </c>
      <c r="J526" s="143">
        <v>240000</v>
      </c>
      <c r="K526" s="143"/>
      <c r="L526" s="87">
        <v>14313</v>
      </c>
      <c r="M526" s="92" t="str">
        <f t="shared" si="18"/>
        <v/>
      </c>
      <c r="N526" s="104">
        <v>200150</v>
      </c>
      <c r="O526" s="92">
        <f t="shared" si="19"/>
        <v>-0.92848863352485633</v>
      </c>
      <c r="T526" s="97"/>
    </row>
    <row r="527" spans="1:20" ht="18" customHeight="1">
      <c r="A527" s="103"/>
      <c r="B527" s="104"/>
      <c r="C527" s="104"/>
      <c r="D527" s="104"/>
      <c r="E527" s="92"/>
      <c r="F527" s="104"/>
      <c r="G527" s="92"/>
      <c r="H527" s="90">
        <v>20699</v>
      </c>
      <c r="I527" s="80" t="s">
        <v>209</v>
      </c>
      <c r="J527" s="143">
        <f>2159675-2000000</f>
        <v>159675</v>
      </c>
      <c r="K527" s="647">
        <v>491990</v>
      </c>
      <c r="L527" s="87">
        <v>434034</v>
      </c>
      <c r="M527" s="92">
        <f t="shared" si="18"/>
        <v>0.88220085774101098</v>
      </c>
      <c r="N527" s="104">
        <v>492216</v>
      </c>
      <c r="O527" s="92">
        <f t="shared" si="19"/>
        <v>-0.11820420303281487</v>
      </c>
      <c r="T527" s="97"/>
    </row>
    <row r="528" spans="1:20" ht="18" customHeight="1">
      <c r="A528" s="103"/>
      <c r="B528" s="104"/>
      <c r="C528" s="104"/>
      <c r="D528" s="104"/>
      <c r="E528" s="92"/>
      <c r="F528" s="104"/>
      <c r="G528" s="92"/>
      <c r="H528" s="90">
        <v>2069901</v>
      </c>
      <c r="I528" s="90" t="s">
        <v>210</v>
      </c>
      <c r="J528" s="143">
        <v>4770</v>
      </c>
      <c r="K528" s="143"/>
      <c r="L528" s="87">
        <v>3102</v>
      </c>
      <c r="M528" s="92" t="str">
        <f t="shared" si="18"/>
        <v/>
      </c>
      <c r="N528" s="104">
        <v>2114</v>
      </c>
      <c r="O528" s="92">
        <f t="shared" si="19"/>
        <v>0.46736045411542104</v>
      </c>
      <c r="T528" s="97"/>
    </row>
    <row r="529" spans="1:21" ht="18" customHeight="1">
      <c r="A529" s="103"/>
      <c r="B529" s="104"/>
      <c r="C529" s="104"/>
      <c r="D529" s="104"/>
      <c r="E529" s="92"/>
      <c r="F529" s="104"/>
      <c r="G529" s="92"/>
      <c r="H529" s="90">
        <v>2069902</v>
      </c>
      <c r="I529" s="90" t="s">
        <v>211</v>
      </c>
      <c r="J529" s="143">
        <v>0</v>
      </c>
      <c r="K529" s="143"/>
      <c r="L529" s="87">
        <v>0</v>
      </c>
      <c r="M529" s="92" t="str">
        <f t="shared" si="18"/>
        <v/>
      </c>
      <c r="N529" s="104">
        <v>0</v>
      </c>
      <c r="O529" s="92" t="str">
        <f t="shared" si="19"/>
        <v/>
      </c>
      <c r="T529" s="97"/>
    </row>
    <row r="530" spans="1:21" ht="18" customHeight="1">
      <c r="A530" s="103"/>
      <c r="B530" s="104"/>
      <c r="C530" s="104"/>
      <c r="D530" s="104"/>
      <c r="E530" s="92"/>
      <c r="F530" s="104"/>
      <c r="G530" s="92"/>
      <c r="H530" s="90">
        <v>2069903</v>
      </c>
      <c r="I530" s="90" t="s">
        <v>212</v>
      </c>
      <c r="J530" s="143">
        <v>0</v>
      </c>
      <c r="K530" s="143"/>
      <c r="L530" s="87">
        <v>0</v>
      </c>
      <c r="M530" s="92" t="str">
        <f t="shared" si="18"/>
        <v/>
      </c>
      <c r="N530" s="104">
        <v>8</v>
      </c>
      <c r="O530" s="92">
        <f t="shared" si="19"/>
        <v>-1</v>
      </c>
      <c r="T530" s="97"/>
    </row>
    <row r="531" spans="1:21" ht="18" customHeight="1">
      <c r="A531" s="103"/>
      <c r="B531" s="104"/>
      <c r="C531" s="104"/>
      <c r="D531" s="104"/>
      <c r="E531" s="92"/>
      <c r="F531" s="104"/>
      <c r="G531" s="92"/>
      <c r="H531" s="90">
        <v>2069999</v>
      </c>
      <c r="I531" s="90" t="s">
        <v>213</v>
      </c>
      <c r="J531" s="143">
        <f>2154905-2000000</f>
        <v>154905</v>
      </c>
      <c r="K531" s="143"/>
      <c r="L531" s="87">
        <v>430932</v>
      </c>
      <c r="M531" s="92" t="str">
        <f t="shared" si="18"/>
        <v/>
      </c>
      <c r="N531" s="104">
        <v>490094</v>
      </c>
      <c r="O531" s="92">
        <f t="shared" si="19"/>
        <v>-0.12071561782025486</v>
      </c>
      <c r="T531" s="97"/>
    </row>
    <row r="532" spans="1:21" s="112" customFormat="1" ht="18" customHeight="1">
      <c r="A532" s="111"/>
      <c r="B532" s="109"/>
      <c r="C532" s="109"/>
      <c r="D532" s="109"/>
      <c r="E532" s="82"/>
      <c r="F532" s="109"/>
      <c r="G532" s="82"/>
      <c r="H532" s="80">
        <v>207</v>
      </c>
      <c r="I532" s="80" t="s">
        <v>214</v>
      </c>
      <c r="J532" s="110">
        <f>682882-500000</f>
        <v>182882</v>
      </c>
      <c r="K532" s="656">
        <v>196910</v>
      </c>
      <c r="L532" s="77">
        <v>148828</v>
      </c>
      <c r="M532" s="82">
        <f t="shared" si="18"/>
        <v>0.75581737849779085</v>
      </c>
      <c r="N532" s="109">
        <v>387994</v>
      </c>
      <c r="O532" s="82">
        <f t="shared" si="19"/>
        <v>-0.61641674871260888</v>
      </c>
      <c r="P532" s="84"/>
      <c r="T532" s="96"/>
    </row>
    <row r="533" spans="1:21" ht="18" customHeight="1">
      <c r="A533" s="103"/>
      <c r="B533" s="104"/>
      <c r="C533" s="104"/>
      <c r="D533" s="104"/>
      <c r="E533" s="92"/>
      <c r="F533" s="104"/>
      <c r="G533" s="92"/>
      <c r="H533" s="90">
        <v>20701</v>
      </c>
      <c r="I533" s="80" t="s">
        <v>215</v>
      </c>
      <c r="J533" s="143">
        <v>79610</v>
      </c>
      <c r="K533" s="647">
        <v>54714</v>
      </c>
      <c r="L533" s="87">
        <v>54625</v>
      </c>
      <c r="M533" s="92">
        <f t="shared" si="18"/>
        <v>0.99837335965200857</v>
      </c>
      <c r="N533" s="104">
        <v>31901</v>
      </c>
      <c r="O533" s="92">
        <f t="shared" si="19"/>
        <v>0.71232876712328763</v>
      </c>
      <c r="T533" s="96" t="s">
        <v>1061</v>
      </c>
      <c r="U533" s="63">
        <v>149302</v>
      </c>
    </row>
    <row r="534" spans="1:21" ht="18" customHeight="1">
      <c r="A534" s="103"/>
      <c r="B534" s="104"/>
      <c r="C534" s="104"/>
      <c r="D534" s="104"/>
      <c r="E534" s="92"/>
      <c r="F534" s="104"/>
      <c r="G534" s="92"/>
      <c r="H534" s="90">
        <v>2070101</v>
      </c>
      <c r="I534" s="90" t="s">
        <v>1110</v>
      </c>
      <c r="J534" s="143">
        <v>3843</v>
      </c>
      <c r="K534" s="143"/>
      <c r="L534" s="87">
        <v>4750</v>
      </c>
      <c r="M534" s="92" t="str">
        <f t="shared" si="18"/>
        <v/>
      </c>
      <c r="N534" s="104">
        <v>4088</v>
      </c>
      <c r="O534" s="92">
        <f t="shared" si="19"/>
        <v>0.16193737769080241</v>
      </c>
      <c r="T534" s="97" t="s">
        <v>215</v>
      </c>
      <c r="U534" s="63">
        <v>29339</v>
      </c>
    </row>
    <row r="535" spans="1:21" ht="18" customHeight="1">
      <c r="A535" s="103"/>
      <c r="B535" s="104"/>
      <c r="C535" s="104"/>
      <c r="D535" s="104"/>
      <c r="E535" s="92"/>
      <c r="F535" s="104"/>
      <c r="G535" s="92"/>
      <c r="H535" s="90">
        <v>2070102</v>
      </c>
      <c r="I535" s="90" t="s">
        <v>1111</v>
      </c>
      <c r="J535" s="143">
        <v>356</v>
      </c>
      <c r="K535" s="143"/>
      <c r="L535" s="87">
        <v>358</v>
      </c>
      <c r="M535" s="92" t="str">
        <f t="shared" si="18"/>
        <v/>
      </c>
      <c r="N535" s="104">
        <v>277</v>
      </c>
      <c r="O535" s="92">
        <f t="shared" si="19"/>
        <v>0.29241877256317683</v>
      </c>
      <c r="T535" s="97" t="s">
        <v>226</v>
      </c>
      <c r="U535" s="63">
        <v>5475</v>
      </c>
    </row>
    <row r="536" spans="1:21" ht="18" customHeight="1">
      <c r="A536" s="103"/>
      <c r="B536" s="104"/>
      <c r="C536" s="104"/>
      <c r="D536" s="104"/>
      <c r="E536" s="92"/>
      <c r="F536" s="104"/>
      <c r="G536" s="92"/>
      <c r="H536" s="90">
        <v>2070103</v>
      </c>
      <c r="I536" s="90" t="s">
        <v>1112</v>
      </c>
      <c r="J536" s="143">
        <v>0</v>
      </c>
      <c r="K536" s="143"/>
      <c r="L536" s="87">
        <v>0</v>
      </c>
      <c r="M536" s="92" t="str">
        <f t="shared" si="18"/>
        <v/>
      </c>
      <c r="N536" s="104">
        <v>0</v>
      </c>
      <c r="O536" s="92" t="str">
        <f t="shared" si="19"/>
        <v/>
      </c>
      <c r="T536" s="97" t="s">
        <v>231</v>
      </c>
      <c r="U536" s="63">
        <v>11238</v>
      </c>
    </row>
    <row r="537" spans="1:21" ht="18" customHeight="1">
      <c r="A537" s="103"/>
      <c r="B537" s="104"/>
      <c r="C537" s="104"/>
      <c r="D537" s="104"/>
      <c r="E537" s="92"/>
      <c r="F537" s="104"/>
      <c r="G537" s="92"/>
      <c r="H537" s="90">
        <v>2070104</v>
      </c>
      <c r="I537" s="90" t="s">
        <v>216</v>
      </c>
      <c r="J537" s="143">
        <v>13082</v>
      </c>
      <c r="K537" s="143"/>
      <c r="L537" s="87">
        <v>15183</v>
      </c>
      <c r="M537" s="92" t="str">
        <f t="shared" si="18"/>
        <v/>
      </c>
      <c r="N537" s="104">
        <v>13840</v>
      </c>
      <c r="O537" s="92">
        <f t="shared" si="19"/>
        <v>9.7037572254335291E-2</v>
      </c>
      <c r="T537" s="97" t="s">
        <v>239</v>
      </c>
      <c r="U537" s="63">
        <v>3117</v>
      </c>
    </row>
    <row r="538" spans="1:21" ht="18" customHeight="1">
      <c r="A538" s="103"/>
      <c r="B538" s="104"/>
      <c r="C538" s="104"/>
      <c r="D538" s="104"/>
      <c r="E538" s="92"/>
      <c r="F538" s="104"/>
      <c r="G538" s="92"/>
      <c r="H538" s="90">
        <v>2070105</v>
      </c>
      <c r="I538" s="90" t="s">
        <v>217</v>
      </c>
      <c r="J538" s="143">
        <v>3258</v>
      </c>
      <c r="K538" s="143"/>
      <c r="L538" s="87">
        <v>3853</v>
      </c>
      <c r="M538" s="92" t="str">
        <f t="shared" si="18"/>
        <v/>
      </c>
      <c r="N538" s="104">
        <v>3263</v>
      </c>
      <c r="O538" s="92">
        <f t="shared" si="19"/>
        <v>0.18081520073551949</v>
      </c>
      <c r="T538" s="97" t="s">
        <v>245</v>
      </c>
      <c r="U538" s="63">
        <v>125</v>
      </c>
    </row>
    <row r="539" spans="1:21" ht="18" customHeight="1">
      <c r="A539" s="103"/>
      <c r="B539" s="104"/>
      <c r="C539" s="104"/>
      <c r="D539" s="104"/>
      <c r="E539" s="92"/>
      <c r="F539" s="104"/>
      <c r="G539" s="92"/>
      <c r="H539" s="90">
        <v>2070106</v>
      </c>
      <c r="I539" s="90" t="s">
        <v>218</v>
      </c>
      <c r="J539" s="143">
        <v>0</v>
      </c>
      <c r="K539" s="143"/>
      <c r="L539" s="87">
        <v>0</v>
      </c>
      <c r="M539" s="92" t="str">
        <f t="shared" si="18"/>
        <v/>
      </c>
      <c r="N539" s="104">
        <v>0</v>
      </c>
      <c r="O539" s="92" t="str">
        <f t="shared" si="19"/>
        <v/>
      </c>
      <c r="T539" s="97" t="s">
        <v>1025</v>
      </c>
      <c r="U539" s="63">
        <v>100008</v>
      </c>
    </row>
    <row r="540" spans="1:21" ht="18" customHeight="1">
      <c r="A540" s="103"/>
      <c r="B540" s="104"/>
      <c r="C540" s="104"/>
      <c r="D540" s="104"/>
      <c r="E540" s="92"/>
      <c r="F540" s="104"/>
      <c r="G540" s="92"/>
      <c r="H540" s="90">
        <v>2070107</v>
      </c>
      <c r="I540" s="90" t="s">
        <v>219</v>
      </c>
      <c r="J540" s="143">
        <v>3434</v>
      </c>
      <c r="K540" s="143"/>
      <c r="L540" s="87">
        <v>2781</v>
      </c>
      <c r="M540" s="92" t="str">
        <f t="shared" si="18"/>
        <v/>
      </c>
      <c r="N540" s="104">
        <v>3127</v>
      </c>
      <c r="O540" s="92">
        <f t="shared" si="19"/>
        <v>-0.11064918452190597</v>
      </c>
      <c r="T540" s="97"/>
    </row>
    <row r="541" spans="1:21" ht="18" customHeight="1">
      <c r="A541" s="103"/>
      <c r="B541" s="104"/>
      <c r="C541" s="104"/>
      <c r="D541" s="104"/>
      <c r="E541" s="92"/>
      <c r="F541" s="104"/>
      <c r="G541" s="92"/>
      <c r="H541" s="90">
        <v>2070108</v>
      </c>
      <c r="I541" s="90" t="s">
        <v>220</v>
      </c>
      <c r="J541" s="143">
        <v>0</v>
      </c>
      <c r="K541" s="143"/>
      <c r="L541" s="87">
        <v>0</v>
      </c>
      <c r="M541" s="92" t="str">
        <f t="shared" si="18"/>
        <v/>
      </c>
      <c r="N541" s="104">
        <v>0</v>
      </c>
      <c r="O541" s="92" t="str">
        <f t="shared" si="19"/>
        <v/>
      </c>
      <c r="T541" s="97"/>
    </row>
    <row r="542" spans="1:21" ht="18" customHeight="1">
      <c r="A542" s="103"/>
      <c r="B542" s="104"/>
      <c r="C542" s="104"/>
      <c r="D542" s="104"/>
      <c r="E542" s="92"/>
      <c r="F542" s="104"/>
      <c r="G542" s="92"/>
      <c r="H542" s="90">
        <v>2070109</v>
      </c>
      <c r="I542" s="90" t="s">
        <v>221</v>
      </c>
      <c r="J542" s="143">
        <v>2251</v>
      </c>
      <c r="K542" s="143"/>
      <c r="L542" s="87">
        <v>2909</v>
      </c>
      <c r="M542" s="92" t="str">
        <f t="shared" si="18"/>
        <v/>
      </c>
      <c r="N542" s="104">
        <v>2160</v>
      </c>
      <c r="O542" s="92">
        <f t="shared" si="19"/>
        <v>0.34675925925925921</v>
      </c>
      <c r="T542" s="97"/>
    </row>
    <row r="543" spans="1:21" ht="18" customHeight="1">
      <c r="A543" s="103"/>
      <c r="B543" s="104"/>
      <c r="C543" s="104"/>
      <c r="D543" s="104"/>
      <c r="E543" s="92"/>
      <c r="F543" s="104"/>
      <c r="G543" s="92"/>
      <c r="H543" s="90">
        <v>2070110</v>
      </c>
      <c r="I543" s="90" t="s">
        <v>222</v>
      </c>
      <c r="J543" s="143">
        <v>175</v>
      </c>
      <c r="K543" s="143"/>
      <c r="L543" s="87">
        <v>165</v>
      </c>
      <c r="M543" s="92" t="str">
        <f t="shared" si="18"/>
        <v/>
      </c>
      <c r="N543" s="104">
        <v>142</v>
      </c>
      <c r="O543" s="92">
        <f t="shared" si="19"/>
        <v>0.1619718309859155</v>
      </c>
      <c r="T543" s="97"/>
    </row>
    <row r="544" spans="1:21" ht="18" customHeight="1">
      <c r="A544" s="103"/>
      <c r="B544" s="104"/>
      <c r="C544" s="104"/>
      <c r="D544" s="104"/>
      <c r="E544" s="92"/>
      <c r="F544" s="104"/>
      <c r="G544" s="92"/>
      <c r="H544" s="90">
        <v>2070111</v>
      </c>
      <c r="I544" s="90" t="s">
        <v>223</v>
      </c>
      <c r="J544" s="143">
        <v>40</v>
      </c>
      <c r="K544" s="143"/>
      <c r="L544" s="87">
        <v>2</v>
      </c>
      <c r="M544" s="92" t="str">
        <f t="shared" si="18"/>
        <v/>
      </c>
      <c r="N544" s="104">
        <v>0</v>
      </c>
      <c r="O544" s="92" t="str">
        <f t="shared" si="19"/>
        <v/>
      </c>
      <c r="T544" s="97"/>
    </row>
    <row r="545" spans="1:20" ht="18" customHeight="1">
      <c r="A545" s="103"/>
      <c r="B545" s="104"/>
      <c r="C545" s="104"/>
      <c r="D545" s="104"/>
      <c r="E545" s="92"/>
      <c r="F545" s="104"/>
      <c r="G545" s="92"/>
      <c r="H545" s="90">
        <v>2070112</v>
      </c>
      <c r="I545" s="90" t="s">
        <v>224</v>
      </c>
      <c r="J545" s="143">
        <v>747</v>
      </c>
      <c r="K545" s="143"/>
      <c r="L545" s="87">
        <v>715</v>
      </c>
      <c r="M545" s="92" t="str">
        <f t="shared" si="18"/>
        <v/>
      </c>
      <c r="N545" s="104">
        <v>557</v>
      </c>
      <c r="O545" s="92">
        <f t="shared" si="19"/>
        <v>0.28366247755834828</v>
      </c>
      <c r="T545" s="97"/>
    </row>
    <row r="546" spans="1:20" ht="18" customHeight="1">
      <c r="A546" s="103"/>
      <c r="B546" s="104"/>
      <c r="C546" s="104"/>
      <c r="D546" s="104"/>
      <c r="E546" s="92"/>
      <c r="F546" s="104"/>
      <c r="G546" s="92"/>
      <c r="H546" s="90">
        <v>2070199</v>
      </c>
      <c r="I546" s="90" t="s">
        <v>225</v>
      </c>
      <c r="J546" s="143">
        <v>52424</v>
      </c>
      <c r="K546" s="143"/>
      <c r="L546" s="87">
        <v>23909</v>
      </c>
      <c r="M546" s="92" t="str">
        <f t="shared" si="18"/>
        <v/>
      </c>
      <c r="N546" s="104">
        <v>4447</v>
      </c>
      <c r="O546" s="92">
        <f t="shared" si="19"/>
        <v>4.3764335507083425</v>
      </c>
      <c r="T546" s="97"/>
    </row>
    <row r="547" spans="1:20" ht="18" customHeight="1">
      <c r="A547" s="103"/>
      <c r="B547" s="104"/>
      <c r="C547" s="104"/>
      <c r="D547" s="104"/>
      <c r="E547" s="92"/>
      <c r="F547" s="104"/>
      <c r="G547" s="92"/>
      <c r="H547" s="90">
        <v>20702</v>
      </c>
      <c r="I547" s="80" t="s">
        <v>226</v>
      </c>
      <c r="J547" s="143">
        <v>7959</v>
      </c>
      <c r="K547" s="647">
        <v>7294</v>
      </c>
      <c r="L547" s="87">
        <v>7252</v>
      </c>
      <c r="M547" s="92">
        <f t="shared" si="18"/>
        <v>0.99424184261036463</v>
      </c>
      <c r="N547" s="104">
        <v>4840</v>
      </c>
      <c r="O547" s="92">
        <f t="shared" si="19"/>
        <v>0.49834710743801658</v>
      </c>
      <c r="T547" s="97"/>
    </row>
    <row r="548" spans="1:20" ht="18" customHeight="1">
      <c r="A548" s="103"/>
      <c r="B548" s="104"/>
      <c r="C548" s="104"/>
      <c r="D548" s="104"/>
      <c r="E548" s="92"/>
      <c r="F548" s="104"/>
      <c r="G548" s="92"/>
      <c r="H548" s="90">
        <v>2070201</v>
      </c>
      <c r="I548" s="90" t="s">
        <v>1110</v>
      </c>
      <c r="J548" s="143">
        <v>677</v>
      </c>
      <c r="K548" s="143"/>
      <c r="L548" s="87">
        <v>175</v>
      </c>
      <c r="M548" s="92" t="str">
        <f t="shared" si="18"/>
        <v/>
      </c>
      <c r="N548" s="104">
        <v>198</v>
      </c>
      <c r="O548" s="92">
        <f t="shared" si="19"/>
        <v>-0.11616161616161613</v>
      </c>
      <c r="T548" s="97"/>
    </row>
    <row r="549" spans="1:20" ht="18" customHeight="1">
      <c r="A549" s="103"/>
      <c r="B549" s="104"/>
      <c r="C549" s="104"/>
      <c r="D549" s="104"/>
      <c r="E549" s="92"/>
      <c r="F549" s="104"/>
      <c r="G549" s="92"/>
      <c r="H549" s="90">
        <v>2070202</v>
      </c>
      <c r="I549" s="90" t="s">
        <v>1111</v>
      </c>
      <c r="J549" s="143">
        <v>0</v>
      </c>
      <c r="K549" s="143"/>
      <c r="L549" s="87">
        <v>43</v>
      </c>
      <c r="M549" s="92" t="str">
        <f t="shared" si="18"/>
        <v/>
      </c>
      <c r="N549" s="104">
        <v>0</v>
      </c>
      <c r="O549" s="92" t="str">
        <f t="shared" si="19"/>
        <v/>
      </c>
      <c r="T549" s="97"/>
    </row>
    <row r="550" spans="1:20" ht="18" customHeight="1">
      <c r="A550" s="103"/>
      <c r="B550" s="104"/>
      <c r="C550" s="104"/>
      <c r="D550" s="104"/>
      <c r="E550" s="92"/>
      <c r="F550" s="104"/>
      <c r="G550" s="92"/>
      <c r="H550" s="90">
        <v>2070203</v>
      </c>
      <c r="I550" s="90" t="s">
        <v>1112</v>
      </c>
      <c r="J550" s="143">
        <v>180</v>
      </c>
      <c r="K550" s="143"/>
      <c r="L550" s="87">
        <v>0</v>
      </c>
      <c r="M550" s="92" t="str">
        <f t="shared" si="18"/>
        <v/>
      </c>
      <c r="N550" s="104">
        <v>0</v>
      </c>
      <c r="O550" s="92" t="str">
        <f t="shared" si="19"/>
        <v/>
      </c>
      <c r="T550" s="97"/>
    </row>
    <row r="551" spans="1:20" ht="18" customHeight="1">
      <c r="A551" s="103"/>
      <c r="B551" s="104"/>
      <c r="C551" s="104"/>
      <c r="D551" s="104"/>
      <c r="E551" s="92"/>
      <c r="F551" s="104"/>
      <c r="G551" s="92"/>
      <c r="H551" s="90">
        <v>2070204</v>
      </c>
      <c r="I551" s="90" t="s">
        <v>227</v>
      </c>
      <c r="J551" s="143">
        <v>141</v>
      </c>
      <c r="K551" s="143"/>
      <c r="L551" s="87">
        <v>122</v>
      </c>
      <c r="M551" s="92" t="str">
        <f t="shared" si="18"/>
        <v/>
      </c>
      <c r="N551" s="104">
        <v>100</v>
      </c>
      <c r="O551" s="92">
        <f t="shared" si="19"/>
        <v>0.21999999999999997</v>
      </c>
      <c r="T551" s="97"/>
    </row>
    <row r="552" spans="1:20" ht="18" customHeight="1">
      <c r="A552" s="103"/>
      <c r="B552" s="104"/>
      <c r="C552" s="104"/>
      <c r="D552" s="104"/>
      <c r="E552" s="92"/>
      <c r="F552" s="104"/>
      <c r="G552" s="92"/>
      <c r="H552" s="90">
        <v>2070205</v>
      </c>
      <c r="I552" s="90" t="s">
        <v>228</v>
      </c>
      <c r="J552" s="143">
        <v>6534</v>
      </c>
      <c r="K552" s="143"/>
      <c r="L552" s="87">
        <v>6462</v>
      </c>
      <c r="M552" s="92" t="str">
        <f t="shared" si="18"/>
        <v/>
      </c>
      <c r="N552" s="104">
        <v>4159</v>
      </c>
      <c r="O552" s="92">
        <f t="shared" si="19"/>
        <v>0.55373887953835066</v>
      </c>
      <c r="T552" s="97"/>
    </row>
    <row r="553" spans="1:20" ht="18" customHeight="1">
      <c r="A553" s="103"/>
      <c r="B553" s="104"/>
      <c r="C553" s="104"/>
      <c r="D553" s="104"/>
      <c r="E553" s="92"/>
      <c r="F553" s="104"/>
      <c r="G553" s="92"/>
      <c r="H553" s="90">
        <v>2070206</v>
      </c>
      <c r="I553" s="90" t="s">
        <v>229</v>
      </c>
      <c r="J553" s="143">
        <v>0</v>
      </c>
      <c r="K553" s="143"/>
      <c r="L553" s="87">
        <v>0</v>
      </c>
      <c r="M553" s="92" t="str">
        <f t="shared" si="18"/>
        <v/>
      </c>
      <c r="N553" s="104">
        <v>0</v>
      </c>
      <c r="O553" s="92" t="str">
        <f t="shared" si="19"/>
        <v/>
      </c>
      <c r="T553" s="97"/>
    </row>
    <row r="554" spans="1:20" ht="18" customHeight="1">
      <c r="A554" s="103"/>
      <c r="B554" s="104"/>
      <c r="C554" s="104"/>
      <c r="D554" s="104"/>
      <c r="E554" s="92"/>
      <c r="F554" s="104"/>
      <c r="G554" s="92"/>
      <c r="H554" s="90">
        <v>2070299</v>
      </c>
      <c r="I554" s="90" t="s">
        <v>230</v>
      </c>
      <c r="J554" s="143">
        <v>427</v>
      </c>
      <c r="K554" s="143"/>
      <c r="L554" s="87">
        <v>450</v>
      </c>
      <c r="M554" s="92" t="str">
        <f t="shared" si="18"/>
        <v/>
      </c>
      <c r="N554" s="104">
        <v>383</v>
      </c>
      <c r="O554" s="92">
        <f t="shared" si="19"/>
        <v>0.17493472584856407</v>
      </c>
      <c r="T554" s="97"/>
    </row>
    <row r="555" spans="1:20" ht="18" customHeight="1">
      <c r="A555" s="103"/>
      <c r="B555" s="104"/>
      <c r="C555" s="104"/>
      <c r="D555" s="104"/>
      <c r="E555" s="92"/>
      <c r="F555" s="104"/>
      <c r="G555" s="92"/>
      <c r="H555" s="90">
        <v>20703</v>
      </c>
      <c r="I555" s="80" t="s">
        <v>231</v>
      </c>
      <c r="J555" s="143">
        <v>28966</v>
      </c>
      <c r="K555" s="647">
        <v>16953</v>
      </c>
      <c r="L555" s="87">
        <v>16953</v>
      </c>
      <c r="M555" s="92">
        <f t="shared" si="18"/>
        <v>1</v>
      </c>
      <c r="N555" s="104">
        <v>245818</v>
      </c>
      <c r="O555" s="92">
        <f t="shared" si="19"/>
        <v>-0.93103434248102257</v>
      </c>
      <c r="T555" s="97"/>
    </row>
    <row r="556" spans="1:20" ht="18" customHeight="1">
      <c r="A556" s="103"/>
      <c r="B556" s="104"/>
      <c r="C556" s="104"/>
      <c r="D556" s="104"/>
      <c r="E556" s="92"/>
      <c r="F556" s="104"/>
      <c r="G556" s="92"/>
      <c r="H556" s="90">
        <v>2070301</v>
      </c>
      <c r="I556" s="90" t="s">
        <v>1110</v>
      </c>
      <c r="J556" s="143">
        <v>0</v>
      </c>
      <c r="K556" s="143"/>
      <c r="L556" s="87">
        <v>66</v>
      </c>
      <c r="M556" s="92" t="str">
        <f t="shared" si="18"/>
        <v/>
      </c>
      <c r="N556" s="104">
        <v>118</v>
      </c>
      <c r="O556" s="92">
        <f t="shared" si="19"/>
        <v>-0.44067796610169496</v>
      </c>
      <c r="T556" s="97"/>
    </row>
    <row r="557" spans="1:20" ht="18" customHeight="1">
      <c r="A557" s="103"/>
      <c r="B557" s="104"/>
      <c r="C557" s="104"/>
      <c r="D557" s="104"/>
      <c r="E557" s="92"/>
      <c r="F557" s="104"/>
      <c r="G557" s="92"/>
      <c r="H557" s="90">
        <v>2070302</v>
      </c>
      <c r="I557" s="90" t="s">
        <v>1111</v>
      </c>
      <c r="J557" s="143">
        <v>0</v>
      </c>
      <c r="K557" s="143"/>
      <c r="L557" s="87">
        <v>0</v>
      </c>
      <c r="M557" s="92" t="str">
        <f t="shared" si="18"/>
        <v/>
      </c>
      <c r="N557" s="104">
        <v>0</v>
      </c>
      <c r="O557" s="92" t="str">
        <f t="shared" si="19"/>
        <v/>
      </c>
      <c r="T557" s="97"/>
    </row>
    <row r="558" spans="1:20" ht="18" customHeight="1">
      <c r="A558" s="103"/>
      <c r="B558" s="104"/>
      <c r="C558" s="104"/>
      <c r="D558" s="104"/>
      <c r="E558" s="92"/>
      <c r="F558" s="104"/>
      <c r="G558" s="92"/>
      <c r="H558" s="90">
        <v>2070303</v>
      </c>
      <c r="I558" s="90" t="s">
        <v>1112</v>
      </c>
      <c r="J558" s="143">
        <v>0</v>
      </c>
      <c r="K558" s="143"/>
      <c r="L558" s="87">
        <v>0</v>
      </c>
      <c r="M558" s="92" t="str">
        <f t="shared" si="18"/>
        <v/>
      </c>
      <c r="N558" s="104">
        <v>0</v>
      </c>
      <c r="O558" s="92" t="str">
        <f t="shared" si="19"/>
        <v/>
      </c>
      <c r="T558" s="97"/>
    </row>
    <row r="559" spans="1:20" ht="18" customHeight="1">
      <c r="A559" s="103"/>
      <c r="B559" s="104"/>
      <c r="C559" s="104"/>
      <c r="D559" s="104"/>
      <c r="E559" s="92"/>
      <c r="F559" s="104"/>
      <c r="G559" s="92"/>
      <c r="H559" s="90">
        <v>2070304</v>
      </c>
      <c r="I559" s="90" t="s">
        <v>232</v>
      </c>
      <c r="J559" s="143">
        <v>7021</v>
      </c>
      <c r="K559" s="143"/>
      <c r="L559" s="87">
        <v>7722</v>
      </c>
      <c r="M559" s="92" t="str">
        <f t="shared" si="18"/>
        <v/>
      </c>
      <c r="N559" s="104">
        <v>6575</v>
      </c>
      <c r="O559" s="92">
        <f t="shared" si="19"/>
        <v>0.17444866920152102</v>
      </c>
      <c r="T559" s="97"/>
    </row>
    <row r="560" spans="1:20" ht="18" customHeight="1">
      <c r="A560" s="103"/>
      <c r="B560" s="104"/>
      <c r="C560" s="104"/>
      <c r="D560" s="104"/>
      <c r="E560" s="92"/>
      <c r="F560" s="104"/>
      <c r="G560" s="92"/>
      <c r="H560" s="90">
        <v>2070305</v>
      </c>
      <c r="I560" s="90" t="s">
        <v>233</v>
      </c>
      <c r="J560" s="143">
        <v>633</v>
      </c>
      <c r="K560" s="143"/>
      <c r="L560" s="87">
        <v>1587</v>
      </c>
      <c r="M560" s="92" t="str">
        <f t="shared" si="18"/>
        <v/>
      </c>
      <c r="N560" s="104">
        <v>1904</v>
      </c>
      <c r="O560" s="92">
        <f t="shared" si="19"/>
        <v>-0.16649159663865543</v>
      </c>
      <c r="T560" s="97"/>
    </row>
    <row r="561" spans="1:20" ht="18" customHeight="1">
      <c r="A561" s="103"/>
      <c r="B561" s="104"/>
      <c r="C561" s="104"/>
      <c r="D561" s="104"/>
      <c r="E561" s="92"/>
      <c r="F561" s="104"/>
      <c r="G561" s="92"/>
      <c r="H561" s="90">
        <v>2070306</v>
      </c>
      <c r="I561" s="90" t="s">
        <v>234</v>
      </c>
      <c r="J561" s="143">
        <v>862</v>
      </c>
      <c r="K561" s="143"/>
      <c r="L561" s="87">
        <v>954</v>
      </c>
      <c r="M561" s="92" t="str">
        <f t="shared" si="18"/>
        <v/>
      </c>
      <c r="N561" s="104">
        <v>268</v>
      </c>
      <c r="O561" s="92">
        <f t="shared" si="19"/>
        <v>2.5597014925373136</v>
      </c>
      <c r="T561" s="97"/>
    </row>
    <row r="562" spans="1:20" ht="18" customHeight="1">
      <c r="A562" s="103"/>
      <c r="B562" s="104"/>
      <c r="C562" s="104"/>
      <c r="D562" s="104"/>
      <c r="E562" s="92"/>
      <c r="F562" s="104"/>
      <c r="G562" s="92"/>
      <c r="H562" s="90">
        <v>2070307</v>
      </c>
      <c r="I562" s="90" t="s">
        <v>235</v>
      </c>
      <c r="J562" s="143">
        <v>108</v>
      </c>
      <c r="K562" s="143"/>
      <c r="L562" s="87">
        <v>141</v>
      </c>
      <c r="M562" s="92" t="str">
        <f t="shared" si="18"/>
        <v/>
      </c>
      <c r="N562" s="104">
        <v>236758</v>
      </c>
      <c r="O562" s="92">
        <f t="shared" si="19"/>
        <v>-0.99940445518208465</v>
      </c>
      <c r="T562" s="97"/>
    </row>
    <row r="563" spans="1:20" ht="18" customHeight="1">
      <c r="A563" s="103"/>
      <c r="B563" s="104"/>
      <c r="C563" s="104"/>
      <c r="D563" s="104"/>
      <c r="E563" s="92"/>
      <c r="F563" s="104"/>
      <c r="G563" s="92"/>
      <c r="H563" s="90">
        <v>2070308</v>
      </c>
      <c r="I563" s="90" t="s">
        <v>236</v>
      </c>
      <c r="J563" s="143">
        <v>84</v>
      </c>
      <c r="K563" s="143"/>
      <c r="L563" s="87">
        <v>223</v>
      </c>
      <c r="M563" s="92" t="str">
        <f t="shared" si="18"/>
        <v/>
      </c>
      <c r="N563" s="104">
        <v>134</v>
      </c>
      <c r="O563" s="92">
        <f t="shared" si="19"/>
        <v>0.66417910447761197</v>
      </c>
      <c r="T563" s="97"/>
    </row>
    <row r="564" spans="1:20" ht="18" customHeight="1">
      <c r="A564" s="103"/>
      <c r="B564" s="104"/>
      <c r="C564" s="104"/>
      <c r="D564" s="104"/>
      <c r="E564" s="92"/>
      <c r="F564" s="104"/>
      <c r="G564" s="92"/>
      <c r="H564" s="90">
        <v>2070309</v>
      </c>
      <c r="I564" s="90" t="s">
        <v>237</v>
      </c>
      <c r="J564" s="143">
        <v>8</v>
      </c>
      <c r="K564" s="143"/>
      <c r="L564" s="87">
        <v>1</v>
      </c>
      <c r="M564" s="92" t="str">
        <f t="shared" si="18"/>
        <v/>
      </c>
      <c r="N564" s="104">
        <v>9</v>
      </c>
      <c r="O564" s="92">
        <f t="shared" si="19"/>
        <v>-0.88888888888888884</v>
      </c>
      <c r="T564" s="97"/>
    </row>
    <row r="565" spans="1:20" ht="18" customHeight="1">
      <c r="A565" s="103"/>
      <c r="B565" s="104"/>
      <c r="C565" s="104"/>
      <c r="D565" s="104"/>
      <c r="E565" s="92"/>
      <c r="F565" s="104"/>
      <c r="G565" s="92"/>
      <c r="H565" s="90">
        <v>2070399</v>
      </c>
      <c r="I565" s="90" t="s">
        <v>238</v>
      </c>
      <c r="J565" s="143">
        <v>20250</v>
      </c>
      <c r="K565" s="143"/>
      <c r="L565" s="87">
        <v>6259</v>
      </c>
      <c r="M565" s="92" t="str">
        <f t="shared" si="18"/>
        <v/>
      </c>
      <c r="N565" s="104">
        <v>52</v>
      </c>
      <c r="O565" s="92">
        <f t="shared" si="19"/>
        <v>119.36538461538461</v>
      </c>
      <c r="T565" s="97"/>
    </row>
    <row r="566" spans="1:20" ht="18" customHeight="1">
      <c r="A566" s="103"/>
      <c r="B566" s="104"/>
      <c r="C566" s="104"/>
      <c r="D566" s="104"/>
      <c r="E566" s="92"/>
      <c r="F566" s="104"/>
      <c r="G566" s="92"/>
      <c r="H566" s="90">
        <v>20704</v>
      </c>
      <c r="I566" s="80" t="s">
        <v>239</v>
      </c>
      <c r="J566" s="143">
        <v>3357</v>
      </c>
      <c r="K566" s="647">
        <v>3605</v>
      </c>
      <c r="L566" s="87">
        <v>3559</v>
      </c>
      <c r="M566" s="92">
        <f t="shared" si="18"/>
        <v>0.98723994452149788</v>
      </c>
      <c r="N566" s="104">
        <v>3169</v>
      </c>
      <c r="O566" s="92">
        <f t="shared" si="19"/>
        <v>0.12306721363206052</v>
      </c>
      <c r="T566" s="97"/>
    </row>
    <row r="567" spans="1:20" ht="18" customHeight="1">
      <c r="A567" s="103"/>
      <c r="B567" s="104"/>
      <c r="C567" s="104"/>
      <c r="D567" s="104"/>
      <c r="E567" s="92"/>
      <c r="F567" s="104"/>
      <c r="G567" s="92"/>
      <c r="H567" s="90">
        <v>2070401</v>
      </c>
      <c r="I567" s="90" t="s">
        <v>1110</v>
      </c>
      <c r="J567" s="143">
        <v>0</v>
      </c>
      <c r="K567" s="143"/>
      <c r="L567" s="87">
        <v>0</v>
      </c>
      <c r="M567" s="92" t="str">
        <f t="shared" si="18"/>
        <v/>
      </c>
      <c r="N567" s="104">
        <v>0</v>
      </c>
      <c r="O567" s="92" t="str">
        <f t="shared" si="19"/>
        <v/>
      </c>
      <c r="T567" s="97"/>
    </row>
    <row r="568" spans="1:20" ht="18" customHeight="1">
      <c r="A568" s="103"/>
      <c r="B568" s="104"/>
      <c r="C568" s="104"/>
      <c r="D568" s="104"/>
      <c r="E568" s="92"/>
      <c r="F568" s="104"/>
      <c r="G568" s="92"/>
      <c r="H568" s="90">
        <v>2070402</v>
      </c>
      <c r="I568" s="90" t="s">
        <v>1111</v>
      </c>
      <c r="J568" s="143">
        <v>0</v>
      </c>
      <c r="K568" s="143"/>
      <c r="L568" s="87">
        <v>0</v>
      </c>
      <c r="M568" s="92" t="str">
        <f t="shared" si="18"/>
        <v/>
      </c>
      <c r="N568" s="104">
        <v>0</v>
      </c>
      <c r="O568" s="92" t="str">
        <f t="shared" si="19"/>
        <v/>
      </c>
      <c r="T568" s="97"/>
    </row>
    <row r="569" spans="1:20" ht="18" customHeight="1">
      <c r="A569" s="103"/>
      <c r="B569" s="104"/>
      <c r="C569" s="104"/>
      <c r="D569" s="104"/>
      <c r="E569" s="92"/>
      <c r="F569" s="104"/>
      <c r="G569" s="92"/>
      <c r="H569" s="90">
        <v>2070403</v>
      </c>
      <c r="I569" s="90" t="s">
        <v>1112</v>
      </c>
      <c r="J569" s="143">
        <v>0</v>
      </c>
      <c r="K569" s="143"/>
      <c r="L569" s="87">
        <v>0</v>
      </c>
      <c r="M569" s="92" t="str">
        <f t="shared" si="18"/>
        <v/>
      </c>
      <c r="N569" s="104">
        <v>0</v>
      </c>
      <c r="O569" s="92" t="str">
        <f t="shared" si="19"/>
        <v/>
      </c>
      <c r="T569" s="97"/>
    </row>
    <row r="570" spans="1:20" ht="18" customHeight="1">
      <c r="A570" s="103"/>
      <c r="B570" s="104"/>
      <c r="C570" s="104"/>
      <c r="D570" s="104"/>
      <c r="E570" s="92"/>
      <c r="F570" s="104"/>
      <c r="G570" s="92"/>
      <c r="H570" s="90">
        <v>2070404</v>
      </c>
      <c r="I570" s="90" t="s">
        <v>240</v>
      </c>
      <c r="J570" s="143">
        <v>1371</v>
      </c>
      <c r="K570" s="143"/>
      <c r="L570" s="87">
        <v>1514</v>
      </c>
      <c r="M570" s="92" t="str">
        <f t="shared" si="18"/>
        <v/>
      </c>
      <c r="N570" s="104">
        <v>1301</v>
      </c>
      <c r="O570" s="92">
        <f t="shared" si="19"/>
        <v>0.16372021521906222</v>
      </c>
      <c r="T570" s="97"/>
    </row>
    <row r="571" spans="1:20" ht="18" customHeight="1">
      <c r="A571" s="103"/>
      <c r="B571" s="104"/>
      <c r="C571" s="104"/>
      <c r="D571" s="104"/>
      <c r="E571" s="92"/>
      <c r="F571" s="104"/>
      <c r="G571" s="92"/>
      <c r="H571" s="90">
        <v>2070405</v>
      </c>
      <c r="I571" s="90" t="s">
        <v>241</v>
      </c>
      <c r="J571" s="143">
        <v>0</v>
      </c>
      <c r="K571" s="143"/>
      <c r="L571" s="87">
        <v>0</v>
      </c>
      <c r="M571" s="92" t="str">
        <f t="shared" si="18"/>
        <v/>
      </c>
      <c r="N571" s="104">
        <v>0</v>
      </c>
      <c r="O571" s="92" t="str">
        <f t="shared" si="19"/>
        <v/>
      </c>
      <c r="T571" s="97"/>
    </row>
    <row r="572" spans="1:20" ht="18" customHeight="1">
      <c r="A572" s="103"/>
      <c r="B572" s="104"/>
      <c r="C572" s="104"/>
      <c r="D572" s="104"/>
      <c r="E572" s="92"/>
      <c r="F572" s="104"/>
      <c r="G572" s="92"/>
      <c r="H572" s="90">
        <v>2070406</v>
      </c>
      <c r="I572" s="90" t="s">
        <v>242</v>
      </c>
      <c r="J572" s="143">
        <v>0</v>
      </c>
      <c r="K572" s="143"/>
      <c r="L572" s="87">
        <v>0</v>
      </c>
      <c r="M572" s="92" t="str">
        <f t="shared" si="18"/>
        <v/>
      </c>
      <c r="N572" s="104">
        <v>0</v>
      </c>
      <c r="O572" s="92" t="str">
        <f t="shared" si="19"/>
        <v/>
      </c>
      <c r="T572" s="97"/>
    </row>
    <row r="573" spans="1:20" ht="18" customHeight="1">
      <c r="A573" s="103"/>
      <c r="B573" s="104"/>
      <c r="C573" s="104"/>
      <c r="D573" s="104"/>
      <c r="E573" s="92"/>
      <c r="F573" s="104"/>
      <c r="G573" s="92"/>
      <c r="H573" s="90">
        <v>2070407</v>
      </c>
      <c r="I573" s="90" t="s">
        <v>243</v>
      </c>
      <c r="J573" s="143"/>
      <c r="K573" s="143"/>
      <c r="L573" s="87"/>
      <c r="M573" s="92" t="str">
        <f t="shared" si="18"/>
        <v/>
      </c>
      <c r="N573" s="104">
        <v>140</v>
      </c>
      <c r="O573" s="92">
        <f t="shared" si="19"/>
        <v>-1</v>
      </c>
      <c r="T573" s="97"/>
    </row>
    <row r="574" spans="1:20" ht="18" customHeight="1">
      <c r="A574" s="103"/>
      <c r="B574" s="104"/>
      <c r="C574" s="104"/>
      <c r="D574" s="104"/>
      <c r="E574" s="92"/>
      <c r="F574" s="104"/>
      <c r="G574" s="92"/>
      <c r="H574" s="90">
        <v>2070499</v>
      </c>
      <c r="I574" s="90" t="s">
        <v>244</v>
      </c>
      <c r="J574" s="143">
        <v>1986</v>
      </c>
      <c r="K574" s="143"/>
      <c r="L574" s="87">
        <v>2045</v>
      </c>
      <c r="M574" s="92" t="str">
        <f t="shared" si="18"/>
        <v/>
      </c>
      <c r="N574" s="104">
        <v>1728</v>
      </c>
      <c r="O574" s="92">
        <f t="shared" si="19"/>
        <v>0.18344907407407418</v>
      </c>
      <c r="T574" s="97"/>
    </row>
    <row r="575" spans="1:20" ht="18" customHeight="1">
      <c r="A575" s="103"/>
      <c r="B575" s="104"/>
      <c r="C575" s="104"/>
      <c r="D575" s="104"/>
      <c r="E575" s="92"/>
      <c r="F575" s="104"/>
      <c r="G575" s="92"/>
      <c r="H575" s="90">
        <v>20705</v>
      </c>
      <c r="I575" s="80" t="s">
        <v>245</v>
      </c>
      <c r="J575" s="143">
        <v>89</v>
      </c>
      <c r="K575" s="647">
        <v>118</v>
      </c>
      <c r="L575" s="87">
        <v>118</v>
      </c>
      <c r="M575" s="92">
        <f t="shared" si="18"/>
        <v>1</v>
      </c>
      <c r="N575" s="104">
        <v>137</v>
      </c>
      <c r="O575" s="92">
        <f t="shared" si="19"/>
        <v>-0.13868613138686137</v>
      </c>
      <c r="T575" s="97"/>
    </row>
    <row r="576" spans="1:20" ht="18" customHeight="1">
      <c r="A576" s="103"/>
      <c r="B576" s="104"/>
      <c r="C576" s="104"/>
      <c r="D576" s="104"/>
      <c r="E576" s="92"/>
      <c r="F576" s="104"/>
      <c r="G576" s="92"/>
      <c r="H576" s="90">
        <v>2070501</v>
      </c>
      <c r="I576" s="90" t="s">
        <v>1110</v>
      </c>
      <c r="J576" s="143">
        <v>0</v>
      </c>
      <c r="K576" s="143"/>
      <c r="L576" s="87">
        <v>0</v>
      </c>
      <c r="M576" s="92" t="str">
        <f t="shared" si="18"/>
        <v/>
      </c>
      <c r="N576" s="104">
        <v>0</v>
      </c>
      <c r="O576" s="92" t="str">
        <f t="shared" si="19"/>
        <v/>
      </c>
      <c r="T576" s="97"/>
    </row>
    <row r="577" spans="1:21" ht="18" customHeight="1">
      <c r="A577" s="103"/>
      <c r="B577" s="104"/>
      <c r="C577" s="104"/>
      <c r="D577" s="104"/>
      <c r="E577" s="92"/>
      <c r="F577" s="104"/>
      <c r="G577" s="92"/>
      <c r="H577" s="90">
        <v>2070502</v>
      </c>
      <c r="I577" s="90" t="s">
        <v>1111</v>
      </c>
      <c r="J577" s="143">
        <v>0</v>
      </c>
      <c r="K577" s="143"/>
      <c r="L577" s="87">
        <v>0</v>
      </c>
      <c r="M577" s="92" t="str">
        <f t="shared" si="18"/>
        <v/>
      </c>
      <c r="N577" s="104">
        <v>0</v>
      </c>
      <c r="O577" s="92" t="str">
        <f t="shared" si="19"/>
        <v/>
      </c>
      <c r="T577" s="97"/>
    </row>
    <row r="578" spans="1:21" ht="18" customHeight="1">
      <c r="A578" s="103"/>
      <c r="B578" s="104"/>
      <c r="C578" s="104"/>
      <c r="D578" s="104"/>
      <c r="E578" s="92"/>
      <c r="F578" s="104"/>
      <c r="G578" s="92"/>
      <c r="H578" s="90">
        <v>2070503</v>
      </c>
      <c r="I578" s="90" t="s">
        <v>1112</v>
      </c>
      <c r="J578" s="143">
        <v>0</v>
      </c>
      <c r="K578" s="143"/>
      <c r="L578" s="87">
        <v>0</v>
      </c>
      <c r="M578" s="92" t="str">
        <f t="shared" si="18"/>
        <v/>
      </c>
      <c r="N578" s="104">
        <v>0</v>
      </c>
      <c r="O578" s="92" t="str">
        <f t="shared" si="19"/>
        <v/>
      </c>
      <c r="T578" s="97"/>
    </row>
    <row r="579" spans="1:21" ht="18" customHeight="1">
      <c r="A579" s="103"/>
      <c r="B579" s="104"/>
      <c r="C579" s="104"/>
      <c r="D579" s="104"/>
      <c r="E579" s="92"/>
      <c r="F579" s="104"/>
      <c r="G579" s="92"/>
      <c r="H579" s="90">
        <v>2070504</v>
      </c>
      <c r="I579" s="90" t="s">
        <v>246</v>
      </c>
      <c r="J579" s="143">
        <v>0</v>
      </c>
      <c r="K579" s="143"/>
      <c r="L579" s="87">
        <v>30</v>
      </c>
      <c r="M579" s="92" t="str">
        <f t="shared" si="18"/>
        <v/>
      </c>
      <c r="N579" s="104">
        <v>30</v>
      </c>
      <c r="O579" s="92">
        <f t="shared" si="19"/>
        <v>0</v>
      </c>
      <c r="T579" s="97"/>
    </row>
    <row r="580" spans="1:21" ht="18" customHeight="1">
      <c r="A580" s="103"/>
      <c r="B580" s="104"/>
      <c r="C580" s="104"/>
      <c r="D580" s="104"/>
      <c r="E580" s="92"/>
      <c r="F580" s="104"/>
      <c r="G580" s="92"/>
      <c r="H580" s="90">
        <v>2070505</v>
      </c>
      <c r="I580" s="90" t="s">
        <v>247</v>
      </c>
      <c r="J580" s="143">
        <v>0</v>
      </c>
      <c r="K580" s="143"/>
      <c r="L580" s="87">
        <v>0</v>
      </c>
      <c r="M580" s="92" t="str">
        <f t="shared" si="18"/>
        <v/>
      </c>
      <c r="N580" s="104">
        <v>0</v>
      </c>
      <c r="O580" s="92" t="str">
        <f t="shared" si="19"/>
        <v/>
      </c>
      <c r="T580" s="97"/>
    </row>
    <row r="581" spans="1:21" ht="18" customHeight="1">
      <c r="A581" s="103"/>
      <c r="B581" s="104"/>
      <c r="C581" s="104"/>
      <c r="D581" s="104"/>
      <c r="E581" s="92"/>
      <c r="F581" s="104"/>
      <c r="G581" s="92"/>
      <c r="H581" s="90">
        <v>2070506</v>
      </c>
      <c r="I581" s="90" t="s">
        <v>248</v>
      </c>
      <c r="J581" s="143">
        <v>0</v>
      </c>
      <c r="K581" s="143"/>
      <c r="L581" s="87">
        <v>0</v>
      </c>
      <c r="M581" s="92" t="str">
        <f t="shared" si="18"/>
        <v/>
      </c>
      <c r="N581" s="104">
        <v>0</v>
      </c>
      <c r="O581" s="92" t="str">
        <f t="shared" si="19"/>
        <v/>
      </c>
      <c r="T581" s="97"/>
    </row>
    <row r="582" spans="1:21" ht="18" customHeight="1">
      <c r="A582" s="103"/>
      <c r="B582" s="104"/>
      <c r="C582" s="104"/>
      <c r="D582" s="104"/>
      <c r="E582" s="92"/>
      <c r="F582" s="104"/>
      <c r="G582" s="92"/>
      <c r="H582" s="90">
        <v>2070507</v>
      </c>
      <c r="I582" s="90" t="s">
        <v>249</v>
      </c>
      <c r="J582" s="143">
        <v>89</v>
      </c>
      <c r="K582" s="143"/>
      <c r="L582" s="87">
        <v>88</v>
      </c>
      <c r="M582" s="92" t="str">
        <f t="shared" ref="M582:M645" si="20">+IF(ISERROR(L582/K582),"",L582/K582)</f>
        <v/>
      </c>
      <c r="N582" s="104">
        <v>107</v>
      </c>
      <c r="O582" s="92">
        <f t="shared" si="19"/>
        <v>-0.17757009345794394</v>
      </c>
      <c r="T582" s="97"/>
    </row>
    <row r="583" spans="1:21" ht="18" customHeight="1">
      <c r="A583" s="103"/>
      <c r="B583" s="104"/>
      <c r="C583" s="104"/>
      <c r="D583" s="104"/>
      <c r="E583" s="92"/>
      <c r="F583" s="104"/>
      <c r="G583" s="92"/>
      <c r="H583" s="90">
        <v>2070599</v>
      </c>
      <c r="I583" s="90" t="s">
        <v>250</v>
      </c>
      <c r="J583" s="143">
        <v>0</v>
      </c>
      <c r="K583" s="143"/>
      <c r="L583" s="87">
        <v>0</v>
      </c>
      <c r="M583" s="92" t="str">
        <f t="shared" si="20"/>
        <v/>
      </c>
      <c r="N583" s="104">
        <v>0</v>
      </c>
      <c r="O583" s="92" t="str">
        <f t="shared" ref="O583:O646" si="21">IF(ISERROR(L583/N583-1),"",(L583/N583-1))</f>
        <v/>
      </c>
      <c r="T583" s="97"/>
    </row>
    <row r="584" spans="1:21" ht="18" customHeight="1">
      <c r="A584" s="103"/>
      <c r="B584" s="104"/>
      <c r="C584" s="104"/>
      <c r="D584" s="104"/>
      <c r="E584" s="92"/>
      <c r="F584" s="104"/>
      <c r="G584" s="92"/>
      <c r="H584" s="90">
        <v>20799</v>
      </c>
      <c r="I584" s="80" t="s">
        <v>251</v>
      </c>
      <c r="J584" s="143">
        <f>-500000+562901</f>
        <v>62901</v>
      </c>
      <c r="K584" s="647">
        <v>114226</v>
      </c>
      <c r="L584" s="87">
        <v>66321</v>
      </c>
      <c r="M584" s="92">
        <f t="shared" si="20"/>
        <v>0.58061211983261252</v>
      </c>
      <c r="N584" s="104">
        <v>102129</v>
      </c>
      <c r="O584" s="92">
        <f t="shared" si="21"/>
        <v>-0.350615398172899</v>
      </c>
      <c r="T584" s="97"/>
    </row>
    <row r="585" spans="1:21" ht="18" customHeight="1">
      <c r="A585" s="103"/>
      <c r="B585" s="104"/>
      <c r="C585" s="104"/>
      <c r="D585" s="104"/>
      <c r="E585" s="92"/>
      <c r="F585" s="104"/>
      <c r="G585" s="92"/>
      <c r="H585" s="90">
        <v>2079902</v>
      </c>
      <c r="I585" s="90" t="s">
        <v>252</v>
      </c>
      <c r="J585" s="143">
        <v>36000</v>
      </c>
      <c r="K585" s="143"/>
      <c r="L585" s="87">
        <v>31861</v>
      </c>
      <c r="M585" s="92" t="str">
        <f t="shared" si="20"/>
        <v/>
      </c>
      <c r="N585" s="104">
        <v>15</v>
      </c>
      <c r="O585" s="92">
        <f t="shared" si="21"/>
        <v>2123.0666666666666</v>
      </c>
      <c r="T585" s="97"/>
    </row>
    <row r="586" spans="1:21" ht="18" customHeight="1">
      <c r="A586" s="103"/>
      <c r="B586" s="104"/>
      <c r="C586" s="104"/>
      <c r="D586" s="104"/>
      <c r="E586" s="92"/>
      <c r="F586" s="104"/>
      <c r="G586" s="92"/>
      <c r="H586" s="90">
        <v>2079903</v>
      </c>
      <c r="I586" s="90" t="s">
        <v>253</v>
      </c>
      <c r="J586" s="143">
        <v>0</v>
      </c>
      <c r="K586" s="143"/>
      <c r="L586" s="87">
        <v>7865</v>
      </c>
      <c r="M586" s="92" t="str">
        <f t="shared" si="20"/>
        <v/>
      </c>
      <c r="N586" s="104">
        <v>0</v>
      </c>
      <c r="O586" s="92" t="str">
        <f t="shared" si="21"/>
        <v/>
      </c>
      <c r="T586" s="97"/>
    </row>
    <row r="587" spans="1:21" ht="18" customHeight="1">
      <c r="A587" s="103"/>
      <c r="B587" s="104"/>
      <c r="C587" s="104"/>
      <c r="D587" s="104"/>
      <c r="E587" s="92"/>
      <c r="F587" s="104"/>
      <c r="G587" s="92"/>
      <c r="H587" s="90">
        <v>2079999</v>
      </c>
      <c r="I587" s="90" t="s">
        <v>254</v>
      </c>
      <c r="J587" s="143">
        <f>-500000+526901</f>
        <v>26901</v>
      </c>
      <c r="K587" s="143"/>
      <c r="L587" s="87">
        <v>26595</v>
      </c>
      <c r="M587" s="92" t="str">
        <f t="shared" si="20"/>
        <v/>
      </c>
      <c r="N587" s="104">
        <v>102114</v>
      </c>
      <c r="O587" s="92">
        <f t="shared" si="21"/>
        <v>-0.73955579058699095</v>
      </c>
      <c r="T587" s="97"/>
    </row>
    <row r="588" spans="1:21" s="112" customFormat="1" ht="18" customHeight="1">
      <c r="A588" s="111"/>
      <c r="B588" s="109"/>
      <c r="C588" s="109"/>
      <c r="D588" s="109"/>
      <c r="E588" s="82"/>
      <c r="F588" s="109"/>
      <c r="G588" s="82"/>
      <c r="H588" s="80">
        <v>208</v>
      </c>
      <c r="I588" s="80" t="s">
        <v>255</v>
      </c>
      <c r="J588" s="110">
        <f>-500000+885903</f>
        <v>385903</v>
      </c>
      <c r="K588" s="656">
        <v>398613</v>
      </c>
      <c r="L588" s="77">
        <v>317025</v>
      </c>
      <c r="M588" s="82">
        <f t="shared" si="20"/>
        <v>0.79532027304678976</v>
      </c>
      <c r="N588" s="109">
        <v>294487</v>
      </c>
      <c r="O588" s="82">
        <f t="shared" si="21"/>
        <v>7.653308974589712E-2</v>
      </c>
      <c r="P588" s="84"/>
      <c r="T588" s="96"/>
    </row>
    <row r="589" spans="1:21" ht="18" customHeight="1">
      <c r="A589" s="103"/>
      <c r="B589" s="104"/>
      <c r="C589" s="104"/>
      <c r="D589" s="104"/>
      <c r="E589" s="92"/>
      <c r="F589" s="104"/>
      <c r="G589" s="92"/>
      <c r="H589" s="90">
        <v>20801</v>
      </c>
      <c r="I589" s="80" t="s">
        <v>256</v>
      </c>
      <c r="J589" s="143">
        <v>53650</v>
      </c>
      <c r="K589" s="647">
        <v>58255</v>
      </c>
      <c r="L589" s="87">
        <v>58255</v>
      </c>
      <c r="M589" s="92">
        <f t="shared" si="20"/>
        <v>1</v>
      </c>
      <c r="N589" s="104">
        <v>52383</v>
      </c>
      <c r="O589" s="92">
        <f t="shared" si="21"/>
        <v>0.11209743619113066</v>
      </c>
      <c r="T589" s="96" t="s">
        <v>1062</v>
      </c>
      <c r="U589" s="63">
        <v>303195</v>
      </c>
    </row>
    <row r="590" spans="1:21" ht="18" customHeight="1">
      <c r="A590" s="103"/>
      <c r="B590" s="104"/>
      <c r="C590" s="104"/>
      <c r="D590" s="104"/>
      <c r="E590" s="92"/>
      <c r="F590" s="104"/>
      <c r="G590" s="92"/>
      <c r="H590" s="90">
        <v>2080101</v>
      </c>
      <c r="I590" s="90" t="s">
        <v>1110</v>
      </c>
      <c r="J590" s="143">
        <v>7086</v>
      </c>
      <c r="K590" s="143"/>
      <c r="L590" s="87">
        <v>8326</v>
      </c>
      <c r="M590" s="92" t="str">
        <f t="shared" si="20"/>
        <v/>
      </c>
      <c r="N590" s="104">
        <v>6836</v>
      </c>
      <c r="O590" s="92">
        <f t="shared" si="21"/>
        <v>0.21796372147454646</v>
      </c>
      <c r="T590" s="97" t="s">
        <v>256</v>
      </c>
      <c r="U590" s="63">
        <v>52535</v>
      </c>
    </row>
    <row r="591" spans="1:21" ht="18" customHeight="1">
      <c r="A591" s="103"/>
      <c r="B591" s="104"/>
      <c r="C591" s="104"/>
      <c r="D591" s="104"/>
      <c r="E591" s="92"/>
      <c r="F591" s="104"/>
      <c r="G591" s="92"/>
      <c r="H591" s="90">
        <v>2080102</v>
      </c>
      <c r="I591" s="90" t="s">
        <v>1111</v>
      </c>
      <c r="J591" s="143">
        <v>20</v>
      </c>
      <c r="K591" s="143"/>
      <c r="L591" s="87">
        <v>866</v>
      </c>
      <c r="M591" s="92" t="str">
        <f t="shared" si="20"/>
        <v/>
      </c>
      <c r="N591" s="104">
        <v>686</v>
      </c>
      <c r="O591" s="92">
        <f t="shared" si="21"/>
        <v>0.26239067055393583</v>
      </c>
      <c r="T591" s="97" t="s">
        <v>266</v>
      </c>
      <c r="U591" s="63">
        <v>8806</v>
      </c>
    </row>
    <row r="592" spans="1:21" ht="18" customHeight="1">
      <c r="A592" s="103"/>
      <c r="B592" s="104"/>
      <c r="C592" s="104"/>
      <c r="D592" s="104"/>
      <c r="E592" s="92"/>
      <c r="F592" s="104"/>
      <c r="G592" s="92"/>
      <c r="H592" s="90">
        <v>2080103</v>
      </c>
      <c r="I592" s="90" t="s">
        <v>1112</v>
      </c>
      <c r="J592" s="143">
        <v>1</v>
      </c>
      <c r="K592" s="143"/>
      <c r="L592" s="87">
        <v>0</v>
      </c>
      <c r="M592" s="92" t="str">
        <f t="shared" si="20"/>
        <v/>
      </c>
      <c r="N592" s="104">
        <v>0</v>
      </c>
      <c r="O592" s="92" t="str">
        <f t="shared" si="21"/>
        <v/>
      </c>
      <c r="T592" s="97" t="s">
        <v>274</v>
      </c>
      <c r="U592" s="63">
        <v>11009</v>
      </c>
    </row>
    <row r="593" spans="1:21" ht="18" customHeight="1">
      <c r="A593" s="103"/>
      <c r="B593" s="104"/>
      <c r="C593" s="104"/>
      <c r="D593" s="104"/>
      <c r="E593" s="92"/>
      <c r="F593" s="104"/>
      <c r="G593" s="92"/>
      <c r="H593" s="90">
        <v>2080104</v>
      </c>
      <c r="I593" s="90" t="s">
        <v>257</v>
      </c>
      <c r="J593" s="143">
        <v>98</v>
      </c>
      <c r="K593" s="143"/>
      <c r="L593" s="87">
        <v>97</v>
      </c>
      <c r="M593" s="92" t="str">
        <f t="shared" si="20"/>
        <v/>
      </c>
      <c r="N593" s="104">
        <v>95</v>
      </c>
      <c r="O593" s="92">
        <f t="shared" si="21"/>
        <v>2.1052631578947434E-2</v>
      </c>
      <c r="T593" s="97" t="s">
        <v>282</v>
      </c>
      <c r="U593" s="63">
        <v>0</v>
      </c>
    </row>
    <row r="594" spans="1:21" ht="18" customHeight="1">
      <c r="A594" s="103"/>
      <c r="B594" s="104"/>
      <c r="C594" s="104"/>
      <c r="D594" s="104"/>
      <c r="E594" s="92"/>
      <c r="F594" s="104"/>
      <c r="G594" s="92"/>
      <c r="H594" s="90">
        <v>2080105</v>
      </c>
      <c r="I594" s="90" t="s">
        <v>258</v>
      </c>
      <c r="J594" s="143">
        <v>106</v>
      </c>
      <c r="K594" s="143"/>
      <c r="L594" s="87">
        <v>31</v>
      </c>
      <c r="M594" s="92" t="str">
        <f t="shared" si="20"/>
        <v/>
      </c>
      <c r="N594" s="104">
        <v>24</v>
      </c>
      <c r="O594" s="92">
        <f t="shared" si="21"/>
        <v>0.29166666666666674</v>
      </c>
      <c r="T594" s="97" t="s">
        <v>284</v>
      </c>
      <c r="U594" s="63">
        <v>114508</v>
      </c>
    </row>
    <row r="595" spans="1:21" ht="18" customHeight="1">
      <c r="A595" s="103"/>
      <c r="B595" s="104"/>
      <c r="C595" s="104"/>
      <c r="D595" s="104"/>
      <c r="E595" s="92"/>
      <c r="F595" s="104"/>
      <c r="G595" s="92"/>
      <c r="H595" s="90">
        <v>2080106</v>
      </c>
      <c r="I595" s="90" t="s">
        <v>259</v>
      </c>
      <c r="J595" s="143">
        <v>2196</v>
      </c>
      <c r="K595" s="143"/>
      <c r="L595" s="87">
        <v>2981</v>
      </c>
      <c r="M595" s="92" t="str">
        <f t="shared" si="20"/>
        <v/>
      </c>
      <c r="N595" s="104">
        <v>3426</v>
      </c>
      <c r="O595" s="92">
        <f t="shared" si="21"/>
        <v>-0.12988908347927608</v>
      </c>
      <c r="T595" s="97" t="s">
        <v>290</v>
      </c>
      <c r="U595" s="63">
        <v>0</v>
      </c>
    </row>
    <row r="596" spans="1:21" ht="18" customHeight="1">
      <c r="A596" s="103"/>
      <c r="B596" s="104"/>
      <c r="C596" s="104"/>
      <c r="D596" s="104"/>
      <c r="E596" s="92"/>
      <c r="F596" s="104"/>
      <c r="G596" s="92"/>
      <c r="H596" s="90">
        <v>2080107</v>
      </c>
      <c r="I596" s="90" t="s">
        <v>260</v>
      </c>
      <c r="J596" s="143">
        <v>812</v>
      </c>
      <c r="K596" s="143"/>
      <c r="L596" s="87">
        <v>810</v>
      </c>
      <c r="M596" s="92" t="str">
        <f t="shared" si="20"/>
        <v/>
      </c>
      <c r="N596" s="104">
        <v>793</v>
      </c>
      <c r="O596" s="92">
        <f t="shared" si="21"/>
        <v>2.1437578814627933E-2</v>
      </c>
      <c r="T596" s="97" t="s">
        <v>294</v>
      </c>
      <c r="U596" s="63">
        <v>2594</v>
      </c>
    </row>
    <row r="597" spans="1:21" ht="18" customHeight="1">
      <c r="A597" s="103"/>
      <c r="B597" s="104"/>
      <c r="C597" s="104"/>
      <c r="D597" s="104"/>
      <c r="E597" s="92"/>
      <c r="F597" s="104"/>
      <c r="G597" s="92"/>
      <c r="H597" s="90">
        <v>2080108</v>
      </c>
      <c r="I597" s="90" t="s">
        <v>1152</v>
      </c>
      <c r="J597" s="143">
        <v>0</v>
      </c>
      <c r="K597" s="143"/>
      <c r="L597" s="87">
        <v>0</v>
      </c>
      <c r="M597" s="92" t="str">
        <f t="shared" si="20"/>
        <v/>
      </c>
      <c r="N597" s="104">
        <v>2</v>
      </c>
      <c r="O597" s="92">
        <f t="shared" si="21"/>
        <v>-1</v>
      </c>
      <c r="T597" s="97" t="s">
        <v>308</v>
      </c>
      <c r="U597" s="63">
        <v>944</v>
      </c>
    </row>
    <row r="598" spans="1:21" ht="18" customHeight="1">
      <c r="A598" s="103"/>
      <c r="B598" s="104"/>
      <c r="C598" s="104"/>
      <c r="D598" s="104"/>
      <c r="E598" s="92"/>
      <c r="F598" s="104"/>
      <c r="G598" s="92"/>
      <c r="H598" s="90">
        <v>2080109</v>
      </c>
      <c r="I598" s="90" t="s">
        <v>261</v>
      </c>
      <c r="J598" s="143">
        <v>32233</v>
      </c>
      <c r="K598" s="143"/>
      <c r="L598" s="87">
        <v>36656</v>
      </c>
      <c r="M598" s="92" t="str">
        <f t="shared" si="20"/>
        <v/>
      </c>
      <c r="N598" s="104">
        <v>30387</v>
      </c>
      <c r="O598" s="92">
        <f t="shared" si="21"/>
        <v>0.20630532793628853</v>
      </c>
      <c r="T598" s="97" t="s">
        <v>316</v>
      </c>
      <c r="U598" s="63">
        <v>18491</v>
      </c>
    </row>
    <row r="599" spans="1:21" ht="18" customHeight="1">
      <c r="A599" s="103"/>
      <c r="B599" s="104"/>
      <c r="C599" s="104"/>
      <c r="D599" s="104"/>
      <c r="E599" s="92"/>
      <c r="F599" s="104"/>
      <c r="G599" s="92"/>
      <c r="H599" s="90">
        <v>2080110</v>
      </c>
      <c r="I599" s="90" t="s">
        <v>262</v>
      </c>
      <c r="J599" s="143">
        <v>1372</v>
      </c>
      <c r="K599" s="143"/>
      <c r="L599" s="87">
        <v>1399</v>
      </c>
      <c r="M599" s="92" t="str">
        <f t="shared" si="20"/>
        <v/>
      </c>
      <c r="N599" s="104">
        <v>1341</v>
      </c>
      <c r="O599" s="92">
        <f t="shared" si="21"/>
        <v>4.32513049962715E-2</v>
      </c>
      <c r="T599" s="97" t="s">
        <v>322</v>
      </c>
      <c r="U599" s="63">
        <v>7661</v>
      </c>
    </row>
    <row r="600" spans="1:21" ht="18" customHeight="1">
      <c r="A600" s="103"/>
      <c r="B600" s="104"/>
      <c r="C600" s="104"/>
      <c r="D600" s="104"/>
      <c r="E600" s="92"/>
      <c r="F600" s="104"/>
      <c r="G600" s="92"/>
      <c r="H600" s="90">
        <v>2080111</v>
      </c>
      <c r="I600" s="90" t="s">
        <v>263</v>
      </c>
      <c r="J600" s="143">
        <v>1038</v>
      </c>
      <c r="K600" s="143"/>
      <c r="L600" s="87">
        <v>1211</v>
      </c>
      <c r="M600" s="92" t="str">
        <f t="shared" si="20"/>
        <v/>
      </c>
      <c r="N600" s="104">
        <v>2066</v>
      </c>
      <c r="O600" s="92">
        <f t="shared" si="21"/>
        <v>-0.41384317521781222</v>
      </c>
      <c r="T600" s="97" t="s">
        <v>329</v>
      </c>
      <c r="U600" s="63">
        <v>2831</v>
      </c>
    </row>
    <row r="601" spans="1:21" ht="18" customHeight="1">
      <c r="A601" s="103"/>
      <c r="B601" s="104"/>
      <c r="C601" s="104"/>
      <c r="D601" s="104"/>
      <c r="E601" s="92"/>
      <c r="F601" s="104"/>
      <c r="G601" s="92"/>
      <c r="H601" s="90">
        <v>2080112</v>
      </c>
      <c r="I601" s="90" t="s">
        <v>264</v>
      </c>
      <c r="J601" s="143">
        <v>451</v>
      </c>
      <c r="K601" s="143"/>
      <c r="L601" s="87">
        <v>405</v>
      </c>
      <c r="M601" s="92" t="str">
        <f t="shared" si="20"/>
        <v/>
      </c>
      <c r="N601" s="104">
        <v>298</v>
      </c>
      <c r="O601" s="92">
        <f t="shared" si="21"/>
        <v>0.35906040268456385</v>
      </c>
      <c r="T601" s="97" t="s">
        <v>334</v>
      </c>
      <c r="U601" s="63">
        <v>0</v>
      </c>
    </row>
    <row r="602" spans="1:21" ht="18" customHeight="1">
      <c r="A602" s="103"/>
      <c r="B602" s="104"/>
      <c r="C602" s="104"/>
      <c r="D602" s="104"/>
      <c r="E602" s="92"/>
      <c r="F602" s="104"/>
      <c r="G602" s="92"/>
      <c r="H602" s="90">
        <v>2080199</v>
      </c>
      <c r="I602" s="90" t="s">
        <v>265</v>
      </c>
      <c r="J602" s="143">
        <v>8237</v>
      </c>
      <c r="K602" s="143"/>
      <c r="L602" s="87">
        <v>5473</v>
      </c>
      <c r="M602" s="92" t="str">
        <f t="shared" si="20"/>
        <v/>
      </c>
      <c r="N602" s="104">
        <v>6429</v>
      </c>
      <c r="O602" s="92">
        <f t="shared" si="21"/>
        <v>-0.14870119769793122</v>
      </c>
      <c r="T602" s="97" t="s">
        <v>337</v>
      </c>
      <c r="U602" s="63">
        <v>3940</v>
      </c>
    </row>
    <row r="603" spans="1:21" ht="18" customHeight="1">
      <c r="A603" s="103"/>
      <c r="B603" s="104"/>
      <c r="C603" s="104"/>
      <c r="D603" s="104"/>
      <c r="E603" s="92"/>
      <c r="F603" s="104"/>
      <c r="G603" s="92"/>
      <c r="H603" s="90">
        <v>20802</v>
      </c>
      <c r="I603" s="80" t="s">
        <v>266</v>
      </c>
      <c r="J603" s="143">
        <v>10851</v>
      </c>
      <c r="K603" s="647">
        <v>13173</v>
      </c>
      <c r="L603" s="87">
        <v>13173</v>
      </c>
      <c r="M603" s="92">
        <f t="shared" si="20"/>
        <v>1</v>
      </c>
      <c r="N603" s="104">
        <v>9621</v>
      </c>
      <c r="O603" s="92">
        <f t="shared" si="21"/>
        <v>0.36919239164328022</v>
      </c>
      <c r="T603" s="97" t="s">
        <v>340</v>
      </c>
      <c r="U603" s="63">
        <v>0</v>
      </c>
    </row>
    <row r="604" spans="1:21" ht="18" customHeight="1">
      <c r="A604" s="103"/>
      <c r="B604" s="104"/>
      <c r="C604" s="104"/>
      <c r="D604" s="104"/>
      <c r="E604" s="92"/>
      <c r="F604" s="104"/>
      <c r="G604" s="92"/>
      <c r="H604" s="90">
        <v>2080201</v>
      </c>
      <c r="I604" s="90" t="s">
        <v>1110</v>
      </c>
      <c r="J604" s="143">
        <v>2081</v>
      </c>
      <c r="K604" s="143"/>
      <c r="L604" s="87">
        <v>2372</v>
      </c>
      <c r="M604" s="92" t="str">
        <f t="shared" si="20"/>
        <v/>
      </c>
      <c r="N604" s="104">
        <v>1854</v>
      </c>
      <c r="O604" s="92">
        <f t="shared" si="21"/>
        <v>0.2793959007551241</v>
      </c>
      <c r="T604" s="97" t="s">
        <v>345</v>
      </c>
      <c r="U604" s="63">
        <v>350</v>
      </c>
    </row>
    <row r="605" spans="1:21" ht="18" customHeight="1">
      <c r="A605" s="103"/>
      <c r="B605" s="104"/>
      <c r="C605" s="104"/>
      <c r="D605" s="104"/>
      <c r="E605" s="92"/>
      <c r="F605" s="104"/>
      <c r="G605" s="92"/>
      <c r="H605" s="90">
        <v>2080202</v>
      </c>
      <c r="I605" s="90" t="s">
        <v>1111</v>
      </c>
      <c r="J605" s="143">
        <v>0</v>
      </c>
      <c r="K605" s="143"/>
      <c r="L605" s="87">
        <v>178</v>
      </c>
      <c r="M605" s="92" t="str">
        <f t="shared" si="20"/>
        <v/>
      </c>
      <c r="N605" s="104">
        <v>170</v>
      </c>
      <c r="O605" s="92">
        <f t="shared" si="21"/>
        <v>4.705882352941182E-2</v>
      </c>
      <c r="T605" s="97" t="s">
        <v>347</v>
      </c>
      <c r="U605" s="63">
        <v>0</v>
      </c>
    </row>
    <row r="606" spans="1:21" ht="18" customHeight="1">
      <c r="A606" s="103"/>
      <c r="B606" s="104"/>
      <c r="C606" s="104"/>
      <c r="D606" s="104"/>
      <c r="E606" s="92"/>
      <c r="F606" s="104"/>
      <c r="G606" s="92"/>
      <c r="H606" s="90">
        <v>2080203</v>
      </c>
      <c r="I606" s="90" t="s">
        <v>1112</v>
      </c>
      <c r="J606" s="143">
        <v>425</v>
      </c>
      <c r="K606" s="143"/>
      <c r="L606" s="87">
        <v>487</v>
      </c>
      <c r="M606" s="92" t="str">
        <f t="shared" si="20"/>
        <v/>
      </c>
      <c r="N606" s="104">
        <v>356</v>
      </c>
      <c r="O606" s="92">
        <f t="shared" si="21"/>
        <v>0.3679775280898876</v>
      </c>
      <c r="T606" s="97" t="s">
        <v>350</v>
      </c>
      <c r="U606" s="63">
        <v>0</v>
      </c>
    </row>
    <row r="607" spans="1:21" ht="18" customHeight="1">
      <c r="A607" s="103"/>
      <c r="B607" s="104"/>
      <c r="C607" s="104"/>
      <c r="D607" s="104"/>
      <c r="E607" s="92"/>
      <c r="F607" s="104"/>
      <c r="G607" s="92"/>
      <c r="H607" s="90">
        <v>2080204</v>
      </c>
      <c r="I607" s="90" t="s">
        <v>267</v>
      </c>
      <c r="J607" s="143">
        <v>1350</v>
      </c>
      <c r="K607" s="143"/>
      <c r="L607" s="87">
        <v>1397</v>
      </c>
      <c r="M607" s="92" t="str">
        <f t="shared" si="20"/>
        <v/>
      </c>
      <c r="N607" s="104">
        <v>1195</v>
      </c>
      <c r="O607" s="92">
        <f t="shared" si="21"/>
        <v>0.16903765690376571</v>
      </c>
      <c r="T607" s="97" t="s">
        <v>353</v>
      </c>
      <c r="U607" s="63">
        <v>0</v>
      </c>
    </row>
    <row r="608" spans="1:21" ht="18" customHeight="1">
      <c r="A608" s="103"/>
      <c r="B608" s="104"/>
      <c r="C608" s="104"/>
      <c r="D608" s="104"/>
      <c r="E608" s="92"/>
      <c r="F608" s="104"/>
      <c r="G608" s="92"/>
      <c r="H608" s="90">
        <v>2080205</v>
      </c>
      <c r="I608" s="90" t="s">
        <v>268</v>
      </c>
      <c r="J608" s="143">
        <v>291</v>
      </c>
      <c r="K608" s="143"/>
      <c r="L608" s="87">
        <v>347</v>
      </c>
      <c r="M608" s="92" t="str">
        <f t="shared" si="20"/>
        <v/>
      </c>
      <c r="N608" s="104">
        <v>298</v>
      </c>
      <c r="O608" s="92">
        <f t="shared" si="21"/>
        <v>0.16442953020134232</v>
      </c>
      <c r="T608" s="97" t="s">
        <v>1026</v>
      </c>
      <c r="U608" s="63">
        <v>79526</v>
      </c>
    </row>
    <row r="609" spans="1:20" ht="18" customHeight="1">
      <c r="A609" s="103"/>
      <c r="B609" s="104"/>
      <c r="C609" s="104"/>
      <c r="D609" s="104"/>
      <c r="E609" s="92"/>
      <c r="F609" s="104"/>
      <c r="G609" s="92"/>
      <c r="H609" s="90">
        <v>2080206</v>
      </c>
      <c r="I609" s="90" t="s">
        <v>269</v>
      </c>
      <c r="J609" s="143">
        <v>1148</v>
      </c>
      <c r="K609" s="143"/>
      <c r="L609" s="87">
        <v>1304</v>
      </c>
      <c r="M609" s="92" t="str">
        <f t="shared" si="20"/>
        <v/>
      </c>
      <c r="N609" s="104">
        <v>893</v>
      </c>
      <c r="O609" s="92">
        <f t="shared" si="21"/>
        <v>0.46024636058230683</v>
      </c>
      <c r="T609" s="97"/>
    </row>
    <row r="610" spans="1:20" ht="18" customHeight="1">
      <c r="A610" s="103"/>
      <c r="B610" s="104"/>
      <c r="C610" s="104"/>
      <c r="D610" s="104"/>
      <c r="E610" s="92"/>
      <c r="F610" s="104"/>
      <c r="G610" s="92"/>
      <c r="H610" s="90">
        <v>2080207</v>
      </c>
      <c r="I610" s="90" t="s">
        <v>270</v>
      </c>
      <c r="J610" s="143">
        <v>15</v>
      </c>
      <c r="K610" s="143"/>
      <c r="L610" s="87">
        <v>15</v>
      </c>
      <c r="M610" s="92" t="str">
        <f t="shared" si="20"/>
        <v/>
      </c>
      <c r="N610" s="104">
        <v>15</v>
      </c>
      <c r="O610" s="92">
        <f t="shared" si="21"/>
        <v>0</v>
      </c>
      <c r="T610" s="97"/>
    </row>
    <row r="611" spans="1:20" ht="18" customHeight="1">
      <c r="A611" s="103"/>
      <c r="B611" s="104"/>
      <c r="C611" s="104"/>
      <c r="D611" s="104"/>
      <c r="E611" s="92"/>
      <c r="F611" s="104"/>
      <c r="G611" s="92"/>
      <c r="H611" s="90">
        <v>2080208</v>
      </c>
      <c r="I611" s="90" t="s">
        <v>271</v>
      </c>
      <c r="J611" s="143">
        <v>91</v>
      </c>
      <c r="K611" s="143"/>
      <c r="L611" s="87">
        <v>90</v>
      </c>
      <c r="M611" s="92" t="str">
        <f t="shared" si="20"/>
        <v/>
      </c>
      <c r="N611" s="104">
        <v>174</v>
      </c>
      <c r="O611" s="92">
        <f t="shared" si="21"/>
        <v>-0.48275862068965514</v>
      </c>
      <c r="T611" s="97"/>
    </row>
    <row r="612" spans="1:20" ht="18" customHeight="1">
      <c r="A612" s="103"/>
      <c r="B612" s="104"/>
      <c r="C612" s="104"/>
      <c r="D612" s="104"/>
      <c r="E612" s="92"/>
      <c r="F612" s="104"/>
      <c r="G612" s="92"/>
      <c r="H612" s="90">
        <v>2080209</v>
      </c>
      <c r="I612" s="90" t="s">
        <v>272</v>
      </c>
      <c r="J612" s="143">
        <v>1127</v>
      </c>
      <c r="K612" s="143"/>
      <c r="L612" s="87">
        <v>1218</v>
      </c>
      <c r="M612" s="92" t="str">
        <f t="shared" si="20"/>
        <v/>
      </c>
      <c r="N612" s="104">
        <v>758</v>
      </c>
      <c r="O612" s="92">
        <f t="shared" si="21"/>
        <v>0.60686015831134554</v>
      </c>
      <c r="T612" s="97"/>
    </row>
    <row r="613" spans="1:20" ht="18" customHeight="1">
      <c r="A613" s="103"/>
      <c r="B613" s="104"/>
      <c r="C613" s="104"/>
      <c r="D613" s="104"/>
      <c r="E613" s="92"/>
      <c r="F613" s="104"/>
      <c r="G613" s="92"/>
      <c r="H613" s="90">
        <v>2080299</v>
      </c>
      <c r="I613" s="90" t="s">
        <v>273</v>
      </c>
      <c r="J613" s="143">
        <v>4323</v>
      </c>
      <c r="K613" s="143"/>
      <c r="L613" s="87">
        <v>5765</v>
      </c>
      <c r="M613" s="92" t="str">
        <f t="shared" si="20"/>
        <v/>
      </c>
      <c r="N613" s="104">
        <v>3908</v>
      </c>
      <c r="O613" s="92">
        <f t="shared" si="21"/>
        <v>0.47517911975435001</v>
      </c>
      <c r="T613" s="97"/>
    </row>
    <row r="614" spans="1:20" ht="18" customHeight="1">
      <c r="A614" s="103"/>
      <c r="B614" s="104"/>
      <c r="C614" s="104"/>
      <c r="D614" s="104"/>
      <c r="E614" s="92"/>
      <c r="F614" s="104"/>
      <c r="G614" s="92"/>
      <c r="H614" s="90">
        <v>20803</v>
      </c>
      <c r="I614" s="80" t="s">
        <v>274</v>
      </c>
      <c r="J614" s="143">
        <v>19939</v>
      </c>
      <c r="K614" s="647">
        <v>16856</v>
      </c>
      <c r="L614" s="87">
        <v>16856</v>
      </c>
      <c r="M614" s="92">
        <f t="shared" si="20"/>
        <v>1</v>
      </c>
      <c r="N614" s="104">
        <v>10911</v>
      </c>
      <c r="O614" s="92">
        <f t="shared" si="21"/>
        <v>0.54486298231142882</v>
      </c>
      <c r="T614" s="97"/>
    </row>
    <row r="615" spans="1:20" ht="18" customHeight="1">
      <c r="A615" s="103"/>
      <c r="B615" s="104"/>
      <c r="C615" s="104"/>
      <c r="D615" s="104"/>
      <c r="E615" s="92"/>
      <c r="F615" s="104"/>
      <c r="G615" s="92"/>
      <c r="H615" s="90">
        <v>2080301</v>
      </c>
      <c r="I615" s="90" t="s">
        <v>275</v>
      </c>
      <c r="J615" s="143">
        <v>0</v>
      </c>
      <c r="K615" s="143"/>
      <c r="L615" s="87">
        <v>0</v>
      </c>
      <c r="M615" s="92" t="str">
        <f t="shared" si="20"/>
        <v/>
      </c>
      <c r="N615" s="104">
        <v>0</v>
      </c>
      <c r="O615" s="92" t="str">
        <f t="shared" si="21"/>
        <v/>
      </c>
      <c r="T615" s="97"/>
    </row>
    <row r="616" spans="1:20" ht="18" customHeight="1">
      <c r="A616" s="103"/>
      <c r="B616" s="104"/>
      <c r="C616" s="104"/>
      <c r="D616" s="104"/>
      <c r="E616" s="92"/>
      <c r="F616" s="104"/>
      <c r="G616" s="92"/>
      <c r="H616" s="90">
        <v>2080302</v>
      </c>
      <c r="I616" s="90" t="s">
        <v>276</v>
      </c>
      <c r="J616" s="143">
        <v>0</v>
      </c>
      <c r="K616" s="143"/>
      <c r="L616" s="87">
        <v>0</v>
      </c>
      <c r="M616" s="92" t="str">
        <f t="shared" si="20"/>
        <v/>
      </c>
      <c r="N616" s="104">
        <v>0</v>
      </c>
      <c r="O616" s="92" t="str">
        <f t="shared" si="21"/>
        <v/>
      </c>
      <c r="T616" s="97"/>
    </row>
    <row r="617" spans="1:20" ht="18" customHeight="1">
      <c r="A617" s="103"/>
      <c r="B617" s="104"/>
      <c r="C617" s="104"/>
      <c r="D617" s="104"/>
      <c r="E617" s="92"/>
      <c r="F617" s="104"/>
      <c r="G617" s="92"/>
      <c r="H617" s="90">
        <v>2080303</v>
      </c>
      <c r="I617" s="90" t="s">
        <v>277</v>
      </c>
      <c r="J617" s="143">
        <v>0</v>
      </c>
      <c r="K617" s="143"/>
      <c r="L617" s="87">
        <v>0</v>
      </c>
      <c r="M617" s="92" t="str">
        <f t="shared" si="20"/>
        <v/>
      </c>
      <c r="N617" s="104">
        <v>0</v>
      </c>
      <c r="O617" s="92" t="str">
        <f t="shared" si="21"/>
        <v/>
      </c>
      <c r="T617" s="97"/>
    </row>
    <row r="618" spans="1:20" ht="18" customHeight="1">
      <c r="A618" s="103"/>
      <c r="B618" s="104"/>
      <c r="C618" s="104"/>
      <c r="D618" s="104"/>
      <c r="E618" s="92"/>
      <c r="F618" s="104"/>
      <c r="G618" s="92"/>
      <c r="H618" s="90">
        <v>2080304</v>
      </c>
      <c r="I618" s="90" t="s">
        <v>278</v>
      </c>
      <c r="J618" s="143">
        <v>0</v>
      </c>
      <c r="K618" s="143"/>
      <c r="L618" s="87">
        <v>0</v>
      </c>
      <c r="M618" s="92" t="str">
        <f t="shared" si="20"/>
        <v/>
      </c>
      <c r="N618" s="104">
        <v>0</v>
      </c>
      <c r="O618" s="92" t="str">
        <f t="shared" si="21"/>
        <v/>
      </c>
      <c r="T618" s="97"/>
    </row>
    <row r="619" spans="1:20" ht="18" customHeight="1">
      <c r="A619" s="103"/>
      <c r="B619" s="104"/>
      <c r="C619" s="104"/>
      <c r="D619" s="104"/>
      <c r="E619" s="92"/>
      <c r="F619" s="104"/>
      <c r="G619" s="92"/>
      <c r="H619" s="90">
        <v>2080305</v>
      </c>
      <c r="I619" s="90" t="s">
        <v>279</v>
      </c>
      <c r="J619" s="143">
        <v>0</v>
      </c>
      <c r="K619" s="143"/>
      <c r="L619" s="87">
        <v>0</v>
      </c>
      <c r="M619" s="92" t="str">
        <f t="shared" si="20"/>
        <v/>
      </c>
      <c r="N619" s="104">
        <v>0</v>
      </c>
      <c r="O619" s="92" t="str">
        <f t="shared" si="21"/>
        <v/>
      </c>
      <c r="T619" s="97"/>
    </row>
    <row r="620" spans="1:20" ht="18" customHeight="1">
      <c r="A620" s="103"/>
      <c r="B620" s="104"/>
      <c r="C620" s="104"/>
      <c r="D620" s="104"/>
      <c r="E620" s="92"/>
      <c r="F620" s="104"/>
      <c r="G620" s="92"/>
      <c r="H620" s="90">
        <v>2080308</v>
      </c>
      <c r="I620" s="90" t="s">
        <v>280</v>
      </c>
      <c r="J620" s="143">
        <v>1994</v>
      </c>
      <c r="K620" s="143"/>
      <c r="L620" s="87">
        <v>1794</v>
      </c>
      <c r="M620" s="92" t="str">
        <f t="shared" si="20"/>
        <v/>
      </c>
      <c r="N620" s="104">
        <v>1530</v>
      </c>
      <c r="O620" s="92">
        <f t="shared" si="21"/>
        <v>0.17254901960784319</v>
      </c>
      <c r="T620" s="97"/>
    </row>
    <row r="621" spans="1:20" ht="18" customHeight="1">
      <c r="A621" s="103"/>
      <c r="B621" s="104"/>
      <c r="C621" s="104"/>
      <c r="D621" s="104"/>
      <c r="E621" s="92"/>
      <c r="F621" s="104"/>
      <c r="G621" s="92"/>
      <c r="H621" s="90">
        <v>2080399</v>
      </c>
      <c r="I621" s="90" t="s">
        <v>281</v>
      </c>
      <c r="J621" s="143">
        <v>17945</v>
      </c>
      <c r="K621" s="143"/>
      <c r="L621" s="87">
        <v>15062</v>
      </c>
      <c r="M621" s="92" t="str">
        <f t="shared" si="20"/>
        <v/>
      </c>
      <c r="N621" s="104">
        <v>9381</v>
      </c>
      <c r="O621" s="92">
        <f t="shared" si="21"/>
        <v>0.60558575844792673</v>
      </c>
      <c r="T621" s="97"/>
    </row>
    <row r="622" spans="1:20" ht="18" customHeight="1">
      <c r="A622" s="103"/>
      <c r="B622" s="104"/>
      <c r="C622" s="104"/>
      <c r="D622" s="104"/>
      <c r="E622" s="92"/>
      <c r="F622" s="104"/>
      <c r="G622" s="92"/>
      <c r="H622" s="90">
        <v>20804</v>
      </c>
      <c r="I622" s="80" t="s">
        <v>282</v>
      </c>
      <c r="J622" s="143">
        <v>150638</v>
      </c>
      <c r="K622" s="143"/>
      <c r="L622" s="87"/>
      <c r="M622" s="92" t="str">
        <f t="shared" si="20"/>
        <v/>
      </c>
      <c r="N622" s="104">
        <v>0</v>
      </c>
      <c r="O622" s="92" t="str">
        <f t="shared" si="21"/>
        <v/>
      </c>
      <c r="T622" s="97"/>
    </row>
    <row r="623" spans="1:20" ht="18" customHeight="1">
      <c r="A623" s="103"/>
      <c r="B623" s="104"/>
      <c r="C623" s="104"/>
      <c r="D623" s="104"/>
      <c r="E623" s="92"/>
      <c r="F623" s="104"/>
      <c r="G623" s="92"/>
      <c r="H623" s="90">
        <v>2080402</v>
      </c>
      <c r="I623" s="90" t="s">
        <v>283</v>
      </c>
      <c r="J623" s="143">
        <v>57913</v>
      </c>
      <c r="K623" s="143"/>
      <c r="L623" s="104"/>
      <c r="M623" s="92" t="str">
        <f t="shared" si="20"/>
        <v/>
      </c>
      <c r="N623" s="104">
        <v>0</v>
      </c>
      <c r="O623" s="92" t="str">
        <f t="shared" si="21"/>
        <v/>
      </c>
      <c r="T623" s="97"/>
    </row>
    <row r="624" spans="1:20" ht="18" customHeight="1">
      <c r="A624" s="103"/>
      <c r="B624" s="104"/>
      <c r="C624" s="104"/>
      <c r="D624" s="104"/>
      <c r="E624" s="92"/>
      <c r="F624" s="104"/>
      <c r="G624" s="92"/>
      <c r="H624" s="90">
        <v>20805</v>
      </c>
      <c r="I624" s="80" t="s">
        <v>284</v>
      </c>
      <c r="J624" s="143">
        <v>91334</v>
      </c>
      <c r="K624" s="647">
        <v>155838</v>
      </c>
      <c r="L624" s="87">
        <v>155838</v>
      </c>
      <c r="M624" s="92">
        <f t="shared" si="20"/>
        <v>1</v>
      </c>
      <c r="N624" s="104">
        <v>114457</v>
      </c>
      <c r="O624" s="92">
        <f t="shared" si="21"/>
        <v>0.36154188909372076</v>
      </c>
      <c r="T624" s="97"/>
    </row>
    <row r="625" spans="1:20" ht="18" customHeight="1">
      <c r="A625" s="103"/>
      <c r="B625" s="104"/>
      <c r="C625" s="104"/>
      <c r="D625" s="104"/>
      <c r="E625" s="92"/>
      <c r="F625" s="104"/>
      <c r="G625" s="92"/>
      <c r="H625" s="90">
        <v>2080501</v>
      </c>
      <c r="I625" s="90" t="s">
        <v>285</v>
      </c>
      <c r="J625" s="143">
        <v>0</v>
      </c>
      <c r="K625" s="143"/>
      <c r="L625" s="87">
        <v>60881</v>
      </c>
      <c r="M625" s="92" t="str">
        <f t="shared" si="20"/>
        <v/>
      </c>
      <c r="N625" s="104">
        <v>41149</v>
      </c>
      <c r="O625" s="92">
        <f t="shared" si="21"/>
        <v>0.47952562638217211</v>
      </c>
      <c r="T625" s="97"/>
    </row>
    <row r="626" spans="1:20" ht="18" customHeight="1">
      <c r="A626" s="103"/>
      <c r="B626" s="104"/>
      <c r="C626" s="104"/>
      <c r="D626" s="104"/>
      <c r="E626" s="92"/>
      <c r="F626" s="104"/>
      <c r="G626" s="92"/>
      <c r="H626" s="90">
        <v>2080502</v>
      </c>
      <c r="I626" s="90" t="s">
        <v>286</v>
      </c>
      <c r="J626" s="143">
        <v>0</v>
      </c>
      <c r="K626" s="143"/>
      <c r="L626" s="87">
        <v>94355</v>
      </c>
      <c r="M626" s="92" t="str">
        <f t="shared" si="20"/>
        <v/>
      </c>
      <c r="N626" s="104">
        <v>72866</v>
      </c>
      <c r="O626" s="92">
        <f t="shared" si="21"/>
        <v>0.29491120687288985</v>
      </c>
      <c r="T626" s="97"/>
    </row>
    <row r="627" spans="1:20" ht="18" customHeight="1">
      <c r="A627" s="103"/>
      <c r="B627" s="104"/>
      <c r="C627" s="104"/>
      <c r="D627" s="104"/>
      <c r="E627" s="92"/>
      <c r="F627" s="104"/>
      <c r="G627" s="92"/>
      <c r="H627" s="90">
        <v>2080503</v>
      </c>
      <c r="I627" s="90" t="s">
        <v>287</v>
      </c>
      <c r="J627" s="143">
        <v>1391</v>
      </c>
      <c r="K627" s="143"/>
      <c r="L627" s="87">
        <v>0</v>
      </c>
      <c r="M627" s="92" t="str">
        <f t="shared" si="20"/>
        <v/>
      </c>
      <c r="N627" s="104">
        <v>0</v>
      </c>
      <c r="O627" s="92" t="str">
        <f t="shared" si="21"/>
        <v/>
      </c>
      <c r="T627" s="97"/>
    </row>
    <row r="628" spans="1:20" ht="18" customHeight="1">
      <c r="A628" s="103"/>
      <c r="B628" s="104"/>
      <c r="C628" s="104"/>
      <c r="D628" s="104"/>
      <c r="E628" s="92"/>
      <c r="F628" s="104"/>
      <c r="G628" s="92"/>
      <c r="H628" s="90">
        <v>2080504</v>
      </c>
      <c r="I628" s="90" t="s">
        <v>288</v>
      </c>
      <c r="J628" s="104"/>
      <c r="K628" s="104"/>
      <c r="L628" s="87">
        <v>0</v>
      </c>
      <c r="M628" s="92" t="str">
        <f t="shared" si="20"/>
        <v/>
      </c>
      <c r="N628" s="104">
        <v>0</v>
      </c>
      <c r="O628" s="92" t="str">
        <f t="shared" si="21"/>
        <v/>
      </c>
      <c r="T628" s="97"/>
    </row>
    <row r="629" spans="1:20" ht="18" customHeight="1">
      <c r="A629" s="103"/>
      <c r="B629" s="104"/>
      <c r="C629" s="104"/>
      <c r="D629" s="104"/>
      <c r="E629" s="92"/>
      <c r="F629" s="104"/>
      <c r="G629" s="92"/>
      <c r="H629" s="90">
        <v>2080599</v>
      </c>
      <c r="I629" s="90" t="s">
        <v>289</v>
      </c>
      <c r="J629" s="104"/>
      <c r="K629" s="104"/>
      <c r="L629" s="87">
        <v>602</v>
      </c>
      <c r="M629" s="92" t="str">
        <f t="shared" si="20"/>
        <v/>
      </c>
      <c r="N629" s="104">
        <v>442</v>
      </c>
      <c r="O629" s="92">
        <f t="shared" si="21"/>
        <v>0.36199095022624439</v>
      </c>
      <c r="T629" s="97"/>
    </row>
    <row r="630" spans="1:20" ht="18" customHeight="1">
      <c r="A630" s="103"/>
      <c r="B630" s="104"/>
      <c r="C630" s="104"/>
      <c r="D630" s="104"/>
      <c r="E630" s="92"/>
      <c r="F630" s="104"/>
      <c r="G630" s="92"/>
      <c r="H630" s="90">
        <v>20806</v>
      </c>
      <c r="I630" s="80" t="s">
        <v>290</v>
      </c>
      <c r="J630" s="104"/>
      <c r="K630" s="104"/>
      <c r="L630" s="104"/>
      <c r="M630" s="92" t="str">
        <f t="shared" si="20"/>
        <v/>
      </c>
      <c r="N630" s="104">
        <v>0</v>
      </c>
      <c r="O630" s="92" t="str">
        <f t="shared" si="21"/>
        <v/>
      </c>
      <c r="T630" s="97"/>
    </row>
    <row r="631" spans="1:20" ht="18" customHeight="1">
      <c r="A631" s="103"/>
      <c r="B631" s="104"/>
      <c r="C631" s="104"/>
      <c r="D631" s="104"/>
      <c r="E631" s="92"/>
      <c r="F631" s="104"/>
      <c r="G631" s="92"/>
      <c r="H631" s="90">
        <v>2080601</v>
      </c>
      <c r="I631" s="90" t="s">
        <v>291</v>
      </c>
      <c r="J631" s="104"/>
      <c r="K631" s="104"/>
      <c r="L631" s="104"/>
      <c r="M631" s="92" t="str">
        <f t="shared" si="20"/>
        <v/>
      </c>
      <c r="N631" s="104">
        <v>0</v>
      </c>
      <c r="O631" s="92" t="str">
        <f t="shared" si="21"/>
        <v/>
      </c>
      <c r="T631" s="97"/>
    </row>
    <row r="632" spans="1:20" ht="18" customHeight="1">
      <c r="A632" s="103"/>
      <c r="B632" s="104"/>
      <c r="C632" s="104"/>
      <c r="D632" s="104"/>
      <c r="E632" s="92"/>
      <c r="F632" s="104"/>
      <c r="G632" s="92"/>
      <c r="H632" s="90">
        <v>2080602</v>
      </c>
      <c r="I632" s="90" t="s">
        <v>292</v>
      </c>
      <c r="J632" s="104"/>
      <c r="K632" s="104"/>
      <c r="L632" s="104"/>
      <c r="M632" s="92" t="str">
        <f t="shared" si="20"/>
        <v/>
      </c>
      <c r="N632" s="104">
        <v>0</v>
      </c>
      <c r="O632" s="92" t="str">
        <f t="shared" si="21"/>
        <v/>
      </c>
      <c r="T632" s="97"/>
    </row>
    <row r="633" spans="1:20" ht="18" customHeight="1">
      <c r="A633" s="103"/>
      <c r="B633" s="104"/>
      <c r="C633" s="104"/>
      <c r="D633" s="104"/>
      <c r="E633" s="92"/>
      <c r="F633" s="104"/>
      <c r="G633" s="92"/>
      <c r="H633" s="90">
        <v>2080699</v>
      </c>
      <c r="I633" s="90" t="s">
        <v>293</v>
      </c>
      <c r="J633" s="104"/>
      <c r="K633" s="104"/>
      <c r="L633" s="104"/>
      <c r="M633" s="92" t="str">
        <f t="shared" si="20"/>
        <v/>
      </c>
      <c r="N633" s="104">
        <v>0</v>
      </c>
      <c r="O633" s="92" t="str">
        <f t="shared" si="21"/>
        <v/>
      </c>
      <c r="T633" s="97"/>
    </row>
    <row r="634" spans="1:20" ht="18" customHeight="1">
      <c r="A634" s="103"/>
      <c r="B634" s="104"/>
      <c r="C634" s="104"/>
      <c r="D634" s="104"/>
      <c r="E634" s="92"/>
      <c r="F634" s="104"/>
      <c r="G634" s="92"/>
      <c r="H634" s="90">
        <v>20807</v>
      </c>
      <c r="I634" s="80" t="s">
        <v>294</v>
      </c>
      <c r="J634" s="143">
        <v>15803</v>
      </c>
      <c r="K634" s="647">
        <v>8549</v>
      </c>
      <c r="L634" s="87">
        <v>7024</v>
      </c>
      <c r="M634" s="92">
        <f t="shared" si="20"/>
        <v>0.82161656334074162</v>
      </c>
      <c r="N634" s="104">
        <v>1285</v>
      </c>
      <c r="O634" s="92">
        <f t="shared" si="21"/>
        <v>4.4661478599221791</v>
      </c>
      <c r="T634" s="97"/>
    </row>
    <row r="635" spans="1:20" ht="18" customHeight="1">
      <c r="A635" s="103"/>
      <c r="B635" s="104"/>
      <c r="C635" s="104"/>
      <c r="D635" s="104"/>
      <c r="E635" s="92"/>
      <c r="F635" s="104"/>
      <c r="G635" s="92"/>
      <c r="H635" s="90">
        <v>2080701</v>
      </c>
      <c r="I635" s="90" t="s">
        <v>295</v>
      </c>
      <c r="J635" s="143">
        <v>107</v>
      </c>
      <c r="K635" s="143"/>
      <c r="L635" s="87">
        <v>397</v>
      </c>
      <c r="M635" s="92" t="str">
        <f t="shared" si="20"/>
        <v/>
      </c>
      <c r="N635" s="104">
        <v>98</v>
      </c>
      <c r="O635" s="92">
        <f t="shared" si="21"/>
        <v>3.0510204081632653</v>
      </c>
      <c r="T635" s="97"/>
    </row>
    <row r="636" spans="1:20" ht="18" customHeight="1">
      <c r="A636" s="103"/>
      <c r="B636" s="104"/>
      <c r="C636" s="104"/>
      <c r="D636" s="104"/>
      <c r="E636" s="92"/>
      <c r="F636" s="104"/>
      <c r="G636" s="92"/>
      <c r="H636" s="90">
        <v>2080702</v>
      </c>
      <c r="I636" s="90" t="s">
        <v>296</v>
      </c>
      <c r="J636" s="143">
        <v>6868</v>
      </c>
      <c r="K636" s="143"/>
      <c r="L636" s="87">
        <v>4148</v>
      </c>
      <c r="M636" s="92" t="str">
        <f t="shared" si="20"/>
        <v/>
      </c>
      <c r="N636" s="104">
        <v>680</v>
      </c>
      <c r="O636" s="92">
        <f t="shared" si="21"/>
        <v>5.0999999999999996</v>
      </c>
      <c r="T636" s="97"/>
    </row>
    <row r="637" spans="1:20" ht="18" customHeight="1">
      <c r="A637" s="103"/>
      <c r="B637" s="104"/>
      <c r="C637" s="104"/>
      <c r="D637" s="104"/>
      <c r="E637" s="92"/>
      <c r="F637" s="104"/>
      <c r="G637" s="92"/>
      <c r="H637" s="90">
        <v>2080703</v>
      </c>
      <c r="I637" s="90" t="s">
        <v>297</v>
      </c>
      <c r="J637" s="143">
        <v>0</v>
      </c>
      <c r="K637" s="143"/>
      <c r="L637" s="87">
        <v>0</v>
      </c>
      <c r="M637" s="92" t="str">
        <f t="shared" si="20"/>
        <v/>
      </c>
      <c r="N637" s="104">
        <v>5</v>
      </c>
      <c r="O637" s="92">
        <f t="shared" si="21"/>
        <v>-1</v>
      </c>
      <c r="T637" s="97"/>
    </row>
    <row r="638" spans="1:20" ht="18" customHeight="1">
      <c r="A638" s="103"/>
      <c r="B638" s="104"/>
      <c r="C638" s="104"/>
      <c r="D638" s="104"/>
      <c r="E638" s="92"/>
      <c r="F638" s="104"/>
      <c r="G638" s="92"/>
      <c r="H638" s="90">
        <v>2080704</v>
      </c>
      <c r="I638" s="90" t="s">
        <v>298</v>
      </c>
      <c r="J638" s="143">
        <v>0</v>
      </c>
      <c r="K638" s="143"/>
      <c r="L638" s="87">
        <v>0</v>
      </c>
      <c r="M638" s="92" t="str">
        <f t="shared" si="20"/>
        <v/>
      </c>
      <c r="N638" s="104">
        <v>0</v>
      </c>
      <c r="O638" s="92" t="str">
        <f t="shared" si="21"/>
        <v/>
      </c>
      <c r="T638" s="97"/>
    </row>
    <row r="639" spans="1:20" ht="18" customHeight="1">
      <c r="A639" s="103"/>
      <c r="B639" s="104"/>
      <c r="C639" s="104"/>
      <c r="D639" s="104"/>
      <c r="E639" s="92"/>
      <c r="F639" s="104"/>
      <c r="G639" s="92"/>
      <c r="H639" s="90">
        <v>2080705</v>
      </c>
      <c r="I639" s="90" t="s">
        <v>299</v>
      </c>
      <c r="J639" s="143">
        <v>0</v>
      </c>
      <c r="K639" s="143"/>
      <c r="L639" s="87">
        <v>0</v>
      </c>
      <c r="M639" s="92" t="str">
        <f t="shared" si="20"/>
        <v/>
      </c>
      <c r="N639" s="104">
        <v>0</v>
      </c>
      <c r="O639" s="92" t="str">
        <f t="shared" si="21"/>
        <v/>
      </c>
      <c r="T639" s="97"/>
    </row>
    <row r="640" spans="1:20" ht="18" customHeight="1">
      <c r="A640" s="103"/>
      <c r="B640" s="104"/>
      <c r="C640" s="104"/>
      <c r="D640" s="104"/>
      <c r="E640" s="92"/>
      <c r="F640" s="104"/>
      <c r="G640" s="92"/>
      <c r="H640" s="90">
        <v>2080706</v>
      </c>
      <c r="I640" s="90" t="s">
        <v>300</v>
      </c>
      <c r="J640" s="143">
        <v>427</v>
      </c>
      <c r="K640" s="143"/>
      <c r="L640" s="87">
        <v>199</v>
      </c>
      <c r="M640" s="92" t="str">
        <f t="shared" si="20"/>
        <v/>
      </c>
      <c r="N640" s="104">
        <v>87</v>
      </c>
      <c r="O640" s="92">
        <f t="shared" si="21"/>
        <v>1.2873563218390807</v>
      </c>
      <c r="T640" s="97"/>
    </row>
    <row r="641" spans="1:20" ht="18" customHeight="1">
      <c r="A641" s="103"/>
      <c r="B641" s="104"/>
      <c r="C641" s="104"/>
      <c r="D641" s="104"/>
      <c r="E641" s="92"/>
      <c r="F641" s="104"/>
      <c r="G641" s="92"/>
      <c r="H641" s="90">
        <v>2080707</v>
      </c>
      <c r="I641" s="90" t="s">
        <v>301</v>
      </c>
      <c r="J641" s="143">
        <v>0</v>
      </c>
      <c r="K641" s="143"/>
      <c r="L641" s="87">
        <v>357</v>
      </c>
      <c r="M641" s="92" t="str">
        <f t="shared" si="20"/>
        <v/>
      </c>
      <c r="N641" s="104">
        <v>0</v>
      </c>
      <c r="O641" s="92" t="str">
        <f t="shared" si="21"/>
        <v/>
      </c>
      <c r="T641" s="97"/>
    </row>
    <row r="642" spans="1:20" ht="18" customHeight="1">
      <c r="A642" s="103"/>
      <c r="B642" s="104"/>
      <c r="C642" s="104"/>
      <c r="D642" s="104"/>
      <c r="E642" s="92"/>
      <c r="F642" s="104"/>
      <c r="G642" s="92"/>
      <c r="H642" s="90">
        <v>2080709</v>
      </c>
      <c r="I642" s="90" t="s">
        <v>302</v>
      </c>
      <c r="J642" s="143">
        <v>0</v>
      </c>
      <c r="K642" s="143"/>
      <c r="L642" s="87">
        <v>0</v>
      </c>
      <c r="M642" s="92" t="str">
        <f t="shared" si="20"/>
        <v/>
      </c>
      <c r="N642" s="104">
        <v>0</v>
      </c>
      <c r="O642" s="92" t="str">
        <f t="shared" si="21"/>
        <v/>
      </c>
      <c r="T642" s="97"/>
    </row>
    <row r="643" spans="1:20" ht="18" customHeight="1">
      <c r="A643" s="103"/>
      <c r="B643" s="104"/>
      <c r="C643" s="104"/>
      <c r="D643" s="104"/>
      <c r="E643" s="92"/>
      <c r="F643" s="104"/>
      <c r="G643" s="92"/>
      <c r="H643" s="90">
        <v>2080710</v>
      </c>
      <c r="I643" s="90" t="s">
        <v>303</v>
      </c>
      <c r="J643" s="143">
        <v>0</v>
      </c>
      <c r="K643" s="143"/>
      <c r="L643" s="87">
        <v>0</v>
      </c>
      <c r="M643" s="92" t="str">
        <f t="shared" si="20"/>
        <v/>
      </c>
      <c r="N643" s="104">
        <v>0</v>
      </c>
      <c r="O643" s="92" t="str">
        <f t="shared" si="21"/>
        <v/>
      </c>
      <c r="T643" s="97"/>
    </row>
    <row r="644" spans="1:20" ht="18" customHeight="1">
      <c r="A644" s="103"/>
      <c r="B644" s="104"/>
      <c r="C644" s="104"/>
      <c r="D644" s="104"/>
      <c r="E644" s="92"/>
      <c r="F644" s="104"/>
      <c r="G644" s="92"/>
      <c r="H644" s="90">
        <v>2080711</v>
      </c>
      <c r="I644" s="90" t="s">
        <v>304</v>
      </c>
      <c r="J644" s="143">
        <v>0</v>
      </c>
      <c r="K644" s="143"/>
      <c r="L644" s="87">
        <v>0</v>
      </c>
      <c r="M644" s="92" t="str">
        <f t="shared" si="20"/>
        <v/>
      </c>
      <c r="N644" s="104">
        <v>0</v>
      </c>
      <c r="O644" s="92" t="str">
        <f t="shared" si="21"/>
        <v/>
      </c>
      <c r="T644" s="97"/>
    </row>
    <row r="645" spans="1:20" ht="18" customHeight="1">
      <c r="A645" s="103"/>
      <c r="B645" s="104"/>
      <c r="C645" s="104"/>
      <c r="D645" s="104"/>
      <c r="E645" s="92"/>
      <c r="F645" s="104"/>
      <c r="G645" s="92"/>
      <c r="H645" s="90">
        <v>2080712</v>
      </c>
      <c r="I645" s="90" t="s">
        <v>305</v>
      </c>
      <c r="J645" s="143">
        <v>278</v>
      </c>
      <c r="K645" s="143"/>
      <c r="L645" s="87">
        <v>270</v>
      </c>
      <c r="M645" s="92" t="str">
        <f t="shared" si="20"/>
        <v/>
      </c>
      <c r="N645" s="104">
        <v>269</v>
      </c>
      <c r="O645" s="92">
        <f t="shared" si="21"/>
        <v>3.7174721189590088E-3</v>
      </c>
      <c r="T645" s="97"/>
    </row>
    <row r="646" spans="1:20" ht="18" customHeight="1">
      <c r="A646" s="103"/>
      <c r="B646" s="104"/>
      <c r="C646" s="104"/>
      <c r="D646" s="104"/>
      <c r="E646" s="92"/>
      <c r="F646" s="104"/>
      <c r="G646" s="92"/>
      <c r="H646" s="90">
        <v>2080713</v>
      </c>
      <c r="I646" s="90" t="s">
        <v>306</v>
      </c>
      <c r="J646" s="143">
        <v>14</v>
      </c>
      <c r="K646" s="143"/>
      <c r="L646" s="87">
        <v>14</v>
      </c>
      <c r="M646" s="92" t="str">
        <f t="shared" ref="M646:M709" si="22">+IF(ISERROR(L646/K646),"",L646/K646)</f>
        <v/>
      </c>
      <c r="N646" s="104">
        <v>0</v>
      </c>
      <c r="O646" s="92" t="str">
        <f t="shared" si="21"/>
        <v/>
      </c>
      <c r="T646" s="97"/>
    </row>
    <row r="647" spans="1:20" ht="18" customHeight="1">
      <c r="A647" s="103"/>
      <c r="B647" s="104"/>
      <c r="C647" s="104"/>
      <c r="D647" s="104"/>
      <c r="E647" s="92"/>
      <c r="F647" s="104"/>
      <c r="G647" s="92"/>
      <c r="H647" s="90">
        <v>2080799</v>
      </c>
      <c r="I647" s="90" t="s">
        <v>307</v>
      </c>
      <c r="J647" s="143">
        <v>8109</v>
      </c>
      <c r="K647" s="143"/>
      <c r="L647" s="87">
        <v>1639</v>
      </c>
      <c r="M647" s="92" t="str">
        <f t="shared" si="22"/>
        <v/>
      </c>
      <c r="N647" s="104">
        <v>146</v>
      </c>
      <c r="O647" s="92">
        <f t="shared" ref="O647:O710" si="23">IF(ISERROR(L647/N647-1),"",(L647/N647-1))</f>
        <v>10.226027397260275</v>
      </c>
      <c r="T647" s="97"/>
    </row>
    <row r="648" spans="1:20" ht="18" customHeight="1">
      <c r="A648" s="103"/>
      <c r="B648" s="104"/>
      <c r="C648" s="104"/>
      <c r="D648" s="104"/>
      <c r="E648" s="92"/>
      <c r="F648" s="104"/>
      <c r="G648" s="92"/>
      <c r="H648" s="90">
        <v>20808</v>
      </c>
      <c r="I648" s="80" t="s">
        <v>308</v>
      </c>
      <c r="J648" s="143">
        <v>3577</v>
      </c>
      <c r="K648" s="647">
        <v>1417</v>
      </c>
      <c r="L648" s="87">
        <v>1417</v>
      </c>
      <c r="M648" s="92">
        <f t="shared" si="22"/>
        <v>1</v>
      </c>
      <c r="N648" s="104">
        <v>1364</v>
      </c>
      <c r="O648" s="92">
        <f t="shared" si="23"/>
        <v>3.8856304985337209E-2</v>
      </c>
      <c r="T648" s="97"/>
    </row>
    <row r="649" spans="1:20" ht="18" customHeight="1">
      <c r="A649" s="103"/>
      <c r="B649" s="104"/>
      <c r="C649" s="104"/>
      <c r="D649" s="104"/>
      <c r="E649" s="92"/>
      <c r="F649" s="104"/>
      <c r="G649" s="92"/>
      <c r="H649" s="90">
        <v>2080801</v>
      </c>
      <c r="I649" s="90" t="s">
        <v>309</v>
      </c>
      <c r="J649" s="143">
        <v>462</v>
      </c>
      <c r="K649" s="143"/>
      <c r="L649" s="87">
        <v>1020</v>
      </c>
      <c r="M649" s="92" t="str">
        <f t="shared" si="22"/>
        <v/>
      </c>
      <c r="N649" s="104">
        <v>1050</v>
      </c>
      <c r="O649" s="92">
        <f t="shared" si="23"/>
        <v>-2.8571428571428581E-2</v>
      </c>
      <c r="T649" s="97"/>
    </row>
    <row r="650" spans="1:20" ht="18" customHeight="1">
      <c r="A650" s="103"/>
      <c r="B650" s="104"/>
      <c r="C650" s="104"/>
      <c r="D650" s="104"/>
      <c r="E650" s="92"/>
      <c r="F650" s="104"/>
      <c r="G650" s="92"/>
      <c r="H650" s="90">
        <v>2080802</v>
      </c>
      <c r="I650" s="90" t="s">
        <v>310</v>
      </c>
      <c r="J650" s="143">
        <v>50</v>
      </c>
      <c r="K650" s="143"/>
      <c r="L650" s="87">
        <v>187</v>
      </c>
      <c r="M650" s="92" t="str">
        <f t="shared" si="22"/>
        <v/>
      </c>
      <c r="N650" s="104">
        <v>123</v>
      </c>
      <c r="O650" s="92">
        <f t="shared" si="23"/>
        <v>0.52032520325203246</v>
      </c>
      <c r="T650" s="97"/>
    </row>
    <row r="651" spans="1:20" ht="18" customHeight="1">
      <c r="A651" s="103"/>
      <c r="B651" s="104"/>
      <c r="C651" s="104"/>
      <c r="D651" s="104"/>
      <c r="E651" s="92"/>
      <c r="F651" s="104"/>
      <c r="G651" s="92"/>
      <c r="H651" s="90">
        <v>2080803</v>
      </c>
      <c r="I651" s="90" t="s">
        <v>311</v>
      </c>
      <c r="J651" s="143">
        <v>1018</v>
      </c>
      <c r="K651" s="143"/>
      <c r="L651" s="87">
        <v>0</v>
      </c>
      <c r="M651" s="92" t="str">
        <f t="shared" si="22"/>
        <v/>
      </c>
      <c r="N651" s="104">
        <v>0</v>
      </c>
      <c r="O651" s="92" t="str">
        <f t="shared" si="23"/>
        <v/>
      </c>
      <c r="T651" s="97"/>
    </row>
    <row r="652" spans="1:20" ht="18" customHeight="1">
      <c r="A652" s="103"/>
      <c r="B652" s="104"/>
      <c r="C652" s="104"/>
      <c r="D652" s="104"/>
      <c r="E652" s="92"/>
      <c r="F652" s="104"/>
      <c r="G652" s="92"/>
      <c r="H652" s="90">
        <v>2080804</v>
      </c>
      <c r="I652" s="90" t="s">
        <v>312</v>
      </c>
      <c r="J652" s="143">
        <v>191</v>
      </c>
      <c r="K652" s="143"/>
      <c r="L652" s="87">
        <v>210</v>
      </c>
      <c r="M652" s="92" t="str">
        <f t="shared" si="22"/>
        <v/>
      </c>
      <c r="N652" s="104">
        <v>191</v>
      </c>
      <c r="O652" s="92">
        <f t="shared" si="23"/>
        <v>9.9476439790575855E-2</v>
      </c>
      <c r="T652" s="97"/>
    </row>
    <row r="653" spans="1:20" ht="18" customHeight="1">
      <c r="A653" s="103"/>
      <c r="B653" s="104"/>
      <c r="C653" s="104"/>
      <c r="D653" s="104"/>
      <c r="E653" s="92"/>
      <c r="F653" s="104"/>
      <c r="G653" s="92"/>
      <c r="H653" s="90">
        <v>2080805</v>
      </c>
      <c r="I653" s="90" t="s">
        <v>313</v>
      </c>
      <c r="J653" s="143">
        <v>0</v>
      </c>
      <c r="K653" s="143"/>
      <c r="L653" s="87">
        <v>0</v>
      </c>
      <c r="M653" s="92" t="str">
        <f t="shared" si="22"/>
        <v/>
      </c>
      <c r="N653" s="104">
        <v>0</v>
      </c>
      <c r="O653" s="92" t="str">
        <f t="shared" si="23"/>
        <v/>
      </c>
      <c r="T653" s="97"/>
    </row>
    <row r="654" spans="1:20" ht="18" customHeight="1">
      <c r="A654" s="103"/>
      <c r="B654" s="104"/>
      <c r="C654" s="104"/>
      <c r="D654" s="104"/>
      <c r="E654" s="92"/>
      <c r="F654" s="104"/>
      <c r="G654" s="92"/>
      <c r="H654" s="90">
        <v>2080806</v>
      </c>
      <c r="I654" s="90" t="s">
        <v>314</v>
      </c>
      <c r="J654" s="143">
        <v>0</v>
      </c>
      <c r="K654" s="143"/>
      <c r="L654" s="87">
        <v>0</v>
      </c>
      <c r="M654" s="92" t="str">
        <f t="shared" si="22"/>
        <v/>
      </c>
      <c r="N654" s="104">
        <v>0</v>
      </c>
      <c r="O654" s="92" t="str">
        <f t="shared" si="23"/>
        <v/>
      </c>
      <c r="T654" s="97"/>
    </row>
    <row r="655" spans="1:20" ht="18" customHeight="1">
      <c r="A655" s="103"/>
      <c r="B655" s="104"/>
      <c r="C655" s="104"/>
      <c r="D655" s="104"/>
      <c r="E655" s="92"/>
      <c r="F655" s="104"/>
      <c r="G655" s="92"/>
      <c r="H655" s="90">
        <v>2080899</v>
      </c>
      <c r="I655" s="90" t="s">
        <v>315</v>
      </c>
      <c r="J655" s="143">
        <v>1856</v>
      </c>
      <c r="K655" s="143"/>
      <c r="L655" s="87">
        <v>0</v>
      </c>
      <c r="M655" s="92" t="str">
        <f t="shared" si="22"/>
        <v/>
      </c>
      <c r="N655" s="104">
        <v>0</v>
      </c>
      <c r="O655" s="92" t="str">
        <f t="shared" si="23"/>
        <v/>
      </c>
      <c r="T655" s="97"/>
    </row>
    <row r="656" spans="1:20" ht="18" customHeight="1">
      <c r="A656" s="103"/>
      <c r="B656" s="104"/>
      <c r="C656" s="104"/>
      <c r="D656" s="104"/>
      <c r="E656" s="92"/>
      <c r="F656" s="104"/>
      <c r="G656" s="92"/>
      <c r="H656" s="90">
        <v>20809</v>
      </c>
      <c r="I656" s="80" t="s">
        <v>316</v>
      </c>
      <c r="J656" s="143">
        <v>34842</v>
      </c>
      <c r="K656" s="647">
        <v>23879</v>
      </c>
      <c r="L656" s="87">
        <v>23879</v>
      </c>
      <c r="M656" s="92">
        <f t="shared" si="22"/>
        <v>1</v>
      </c>
      <c r="N656" s="104">
        <v>20507</v>
      </c>
      <c r="O656" s="92">
        <f t="shared" si="23"/>
        <v>0.16443165748281086</v>
      </c>
      <c r="T656" s="97"/>
    </row>
    <row r="657" spans="1:20" ht="18" customHeight="1">
      <c r="A657" s="103"/>
      <c r="B657" s="104"/>
      <c r="C657" s="104"/>
      <c r="D657" s="104"/>
      <c r="E657" s="92"/>
      <c r="F657" s="104"/>
      <c r="G657" s="92"/>
      <c r="H657" s="90">
        <v>2080901</v>
      </c>
      <c r="I657" s="90" t="s">
        <v>317</v>
      </c>
      <c r="J657" s="143">
        <v>5</v>
      </c>
      <c r="K657" s="143"/>
      <c r="L657" s="87">
        <v>0</v>
      </c>
      <c r="M657" s="92" t="str">
        <f t="shared" si="22"/>
        <v/>
      </c>
      <c r="N657" s="104">
        <v>0</v>
      </c>
      <c r="O657" s="92" t="str">
        <f t="shared" si="23"/>
        <v/>
      </c>
      <c r="T657" s="97"/>
    </row>
    <row r="658" spans="1:20" ht="18" customHeight="1">
      <c r="A658" s="103"/>
      <c r="B658" s="104"/>
      <c r="C658" s="104"/>
      <c r="D658" s="104"/>
      <c r="E658" s="92"/>
      <c r="F658" s="104"/>
      <c r="G658" s="92"/>
      <c r="H658" s="90">
        <v>2080902</v>
      </c>
      <c r="I658" s="90" t="s">
        <v>318</v>
      </c>
      <c r="J658" s="143">
        <v>19181</v>
      </c>
      <c r="K658" s="143"/>
      <c r="L658" s="87">
        <v>12169</v>
      </c>
      <c r="M658" s="92" t="str">
        <f t="shared" si="22"/>
        <v/>
      </c>
      <c r="N658" s="104">
        <v>9430</v>
      </c>
      <c r="O658" s="92">
        <f t="shared" si="23"/>
        <v>0.29045599151643686</v>
      </c>
      <c r="T658" s="97"/>
    </row>
    <row r="659" spans="1:20" ht="18" customHeight="1">
      <c r="A659" s="103"/>
      <c r="B659" s="104"/>
      <c r="C659" s="104"/>
      <c r="D659" s="104"/>
      <c r="E659" s="92"/>
      <c r="F659" s="104"/>
      <c r="G659" s="92"/>
      <c r="H659" s="90">
        <v>2080903</v>
      </c>
      <c r="I659" s="90" t="s">
        <v>319</v>
      </c>
      <c r="J659" s="143">
        <v>3983</v>
      </c>
      <c r="K659" s="143"/>
      <c r="L659" s="87">
        <v>1703</v>
      </c>
      <c r="M659" s="92" t="str">
        <f t="shared" si="22"/>
        <v/>
      </c>
      <c r="N659" s="104">
        <v>1419</v>
      </c>
      <c r="O659" s="92">
        <f t="shared" si="23"/>
        <v>0.20014094432699081</v>
      </c>
      <c r="T659" s="97"/>
    </row>
    <row r="660" spans="1:20" ht="18" customHeight="1">
      <c r="A660" s="103"/>
      <c r="B660" s="104"/>
      <c r="C660" s="104"/>
      <c r="D660" s="104"/>
      <c r="E660" s="92"/>
      <c r="F660" s="104"/>
      <c r="G660" s="92"/>
      <c r="H660" s="90">
        <v>2080904</v>
      </c>
      <c r="I660" s="90" t="s">
        <v>320</v>
      </c>
      <c r="J660" s="143">
        <v>151</v>
      </c>
      <c r="K660" s="143"/>
      <c r="L660" s="87">
        <v>0</v>
      </c>
      <c r="M660" s="92" t="str">
        <f t="shared" si="22"/>
        <v/>
      </c>
      <c r="N660" s="104">
        <v>0</v>
      </c>
      <c r="O660" s="92" t="str">
        <f t="shared" si="23"/>
        <v/>
      </c>
      <c r="T660" s="97"/>
    </row>
    <row r="661" spans="1:20" ht="18" customHeight="1">
      <c r="A661" s="103"/>
      <c r="B661" s="104"/>
      <c r="C661" s="104"/>
      <c r="D661" s="104"/>
      <c r="E661" s="92"/>
      <c r="F661" s="104"/>
      <c r="G661" s="92"/>
      <c r="H661" s="90">
        <v>2080999</v>
      </c>
      <c r="I661" s="90" t="s">
        <v>321</v>
      </c>
      <c r="J661" s="143">
        <v>11522</v>
      </c>
      <c r="K661" s="143"/>
      <c r="L661" s="87">
        <v>10007</v>
      </c>
      <c r="M661" s="92" t="str">
        <f t="shared" si="22"/>
        <v/>
      </c>
      <c r="N661" s="104">
        <v>9658</v>
      </c>
      <c r="O661" s="92">
        <f t="shared" si="23"/>
        <v>3.613584593083452E-2</v>
      </c>
      <c r="T661" s="97"/>
    </row>
    <row r="662" spans="1:20" ht="18" customHeight="1">
      <c r="A662" s="103"/>
      <c r="B662" s="104"/>
      <c r="C662" s="104"/>
      <c r="D662" s="104"/>
      <c r="E662" s="92"/>
      <c r="F662" s="104"/>
      <c r="G662" s="92"/>
      <c r="H662" s="90">
        <v>20810</v>
      </c>
      <c r="I662" s="80" t="s">
        <v>322</v>
      </c>
      <c r="J662" s="143">
        <v>17825</v>
      </c>
      <c r="K662" s="647">
        <v>15519</v>
      </c>
      <c r="L662" s="87">
        <v>15519</v>
      </c>
      <c r="M662" s="92">
        <f t="shared" si="22"/>
        <v>1</v>
      </c>
      <c r="N662" s="104">
        <v>7643</v>
      </c>
      <c r="O662" s="92">
        <f t="shared" si="23"/>
        <v>1.0304854114876356</v>
      </c>
      <c r="T662" s="97"/>
    </row>
    <row r="663" spans="1:20" ht="18" customHeight="1">
      <c r="A663" s="103"/>
      <c r="B663" s="104"/>
      <c r="C663" s="104"/>
      <c r="D663" s="104"/>
      <c r="E663" s="92"/>
      <c r="F663" s="104"/>
      <c r="G663" s="92"/>
      <c r="H663" s="90">
        <v>2081001</v>
      </c>
      <c r="I663" s="90" t="s">
        <v>323</v>
      </c>
      <c r="J663" s="143">
        <v>5296</v>
      </c>
      <c r="K663" s="143"/>
      <c r="L663" s="87">
        <v>2600</v>
      </c>
      <c r="M663" s="92" t="str">
        <f t="shared" si="22"/>
        <v/>
      </c>
      <c r="N663" s="104">
        <v>2525</v>
      </c>
      <c r="O663" s="92">
        <f t="shared" si="23"/>
        <v>2.9702970297029729E-2</v>
      </c>
      <c r="T663" s="97"/>
    </row>
    <row r="664" spans="1:20" ht="18" customHeight="1">
      <c r="A664" s="103"/>
      <c r="B664" s="104"/>
      <c r="C664" s="104"/>
      <c r="D664" s="104"/>
      <c r="E664" s="92"/>
      <c r="F664" s="104"/>
      <c r="G664" s="92"/>
      <c r="H664" s="90">
        <v>2081002</v>
      </c>
      <c r="I664" s="90" t="s">
        <v>324</v>
      </c>
      <c r="J664" s="143">
        <v>3237</v>
      </c>
      <c r="K664" s="143"/>
      <c r="L664" s="87">
        <v>1917</v>
      </c>
      <c r="M664" s="92" t="str">
        <f t="shared" si="22"/>
        <v/>
      </c>
      <c r="N664" s="104">
        <v>557</v>
      </c>
      <c r="O664" s="92">
        <f t="shared" si="23"/>
        <v>2.4416517055655298</v>
      </c>
      <c r="T664" s="97"/>
    </row>
    <row r="665" spans="1:20" ht="18" customHeight="1">
      <c r="A665" s="103"/>
      <c r="B665" s="104"/>
      <c r="C665" s="104"/>
      <c r="D665" s="104"/>
      <c r="E665" s="92"/>
      <c r="F665" s="104"/>
      <c r="G665" s="92"/>
      <c r="H665" s="90">
        <v>2081003</v>
      </c>
      <c r="I665" s="90" t="s">
        <v>325</v>
      </c>
      <c r="J665" s="143">
        <v>0</v>
      </c>
      <c r="K665" s="143"/>
      <c r="L665" s="87">
        <v>0</v>
      </c>
      <c r="M665" s="92" t="str">
        <f t="shared" si="22"/>
        <v/>
      </c>
      <c r="N665" s="104">
        <v>0</v>
      </c>
      <c r="O665" s="92" t="str">
        <f t="shared" si="23"/>
        <v/>
      </c>
      <c r="T665" s="97"/>
    </row>
    <row r="666" spans="1:20" ht="18" customHeight="1">
      <c r="A666" s="103"/>
      <c r="B666" s="104"/>
      <c r="C666" s="104"/>
      <c r="D666" s="104"/>
      <c r="E666" s="92"/>
      <c r="F666" s="104"/>
      <c r="G666" s="92"/>
      <c r="H666" s="90">
        <v>2081004</v>
      </c>
      <c r="I666" s="90" t="s">
        <v>326</v>
      </c>
      <c r="J666" s="143">
        <v>7193</v>
      </c>
      <c r="K666" s="143"/>
      <c r="L666" s="87">
        <v>6506</v>
      </c>
      <c r="M666" s="92" t="str">
        <f t="shared" si="22"/>
        <v/>
      </c>
      <c r="N666" s="104">
        <v>2317</v>
      </c>
      <c r="O666" s="92">
        <f t="shared" si="23"/>
        <v>1.8079413034095815</v>
      </c>
      <c r="T666" s="97"/>
    </row>
    <row r="667" spans="1:20" ht="18" customHeight="1">
      <c r="A667" s="103"/>
      <c r="B667" s="104"/>
      <c r="C667" s="104"/>
      <c r="D667" s="104"/>
      <c r="E667" s="92"/>
      <c r="F667" s="104"/>
      <c r="G667" s="92"/>
      <c r="H667" s="90">
        <v>2081005</v>
      </c>
      <c r="I667" s="90" t="s">
        <v>327</v>
      </c>
      <c r="J667" s="143">
        <v>2099</v>
      </c>
      <c r="K667" s="143"/>
      <c r="L667" s="87">
        <v>2794</v>
      </c>
      <c r="M667" s="92" t="str">
        <f t="shared" si="22"/>
        <v/>
      </c>
      <c r="N667" s="104">
        <v>2244</v>
      </c>
      <c r="O667" s="92">
        <f t="shared" si="23"/>
        <v>0.24509803921568629</v>
      </c>
      <c r="T667" s="97"/>
    </row>
    <row r="668" spans="1:20" ht="18" customHeight="1">
      <c r="A668" s="103"/>
      <c r="B668" s="104"/>
      <c r="C668" s="104"/>
      <c r="D668" s="104"/>
      <c r="E668" s="92"/>
      <c r="F668" s="104"/>
      <c r="G668" s="92"/>
      <c r="H668" s="90">
        <v>2081099</v>
      </c>
      <c r="I668" s="90" t="s">
        <v>328</v>
      </c>
      <c r="J668" s="104"/>
      <c r="K668" s="104"/>
      <c r="L668" s="87">
        <v>1702</v>
      </c>
      <c r="M668" s="92" t="str">
        <f t="shared" si="22"/>
        <v/>
      </c>
      <c r="N668" s="104">
        <v>0</v>
      </c>
      <c r="O668" s="92" t="str">
        <f t="shared" si="23"/>
        <v/>
      </c>
      <c r="T668" s="97"/>
    </row>
    <row r="669" spans="1:20" ht="18" customHeight="1">
      <c r="A669" s="103"/>
      <c r="B669" s="104"/>
      <c r="C669" s="104"/>
      <c r="D669" s="104"/>
      <c r="E669" s="92"/>
      <c r="F669" s="104"/>
      <c r="G669" s="92"/>
      <c r="H669" s="90">
        <v>20811</v>
      </c>
      <c r="I669" s="80" t="s">
        <v>329</v>
      </c>
      <c r="J669" s="143">
        <v>13890</v>
      </c>
      <c r="K669" s="647">
        <v>10318</v>
      </c>
      <c r="L669" s="87">
        <v>10255</v>
      </c>
      <c r="M669" s="92">
        <f t="shared" si="22"/>
        <v>0.99389416553595655</v>
      </c>
      <c r="N669" s="104">
        <v>2838</v>
      </c>
      <c r="O669" s="92">
        <f t="shared" si="23"/>
        <v>2.613460183227625</v>
      </c>
      <c r="T669" s="97"/>
    </row>
    <row r="670" spans="1:20" ht="18" customHeight="1">
      <c r="A670" s="103"/>
      <c r="B670" s="104"/>
      <c r="C670" s="104"/>
      <c r="D670" s="104"/>
      <c r="E670" s="92"/>
      <c r="F670" s="104"/>
      <c r="G670" s="92"/>
      <c r="H670" s="90">
        <v>2081101</v>
      </c>
      <c r="I670" s="90" t="s">
        <v>1110</v>
      </c>
      <c r="J670" s="143">
        <v>662</v>
      </c>
      <c r="K670" s="143"/>
      <c r="L670" s="87">
        <v>798</v>
      </c>
      <c r="M670" s="92" t="str">
        <f t="shared" si="22"/>
        <v/>
      </c>
      <c r="N670" s="104">
        <v>624</v>
      </c>
      <c r="O670" s="92">
        <f t="shared" si="23"/>
        <v>0.27884615384615374</v>
      </c>
      <c r="P670" s="75" t="s">
        <v>329</v>
      </c>
      <c r="Q670" s="63">
        <v>3082</v>
      </c>
      <c r="R670" s="63">
        <v>2893</v>
      </c>
      <c r="S670" s="63">
        <v>2838</v>
      </c>
      <c r="T670" s="97"/>
    </row>
    <row r="671" spans="1:20" ht="18" customHeight="1">
      <c r="A671" s="103"/>
      <c r="B671" s="104"/>
      <c r="C671" s="104"/>
      <c r="D671" s="104"/>
      <c r="E671" s="92"/>
      <c r="F671" s="104"/>
      <c r="G671" s="92"/>
      <c r="H671" s="90">
        <v>2081102</v>
      </c>
      <c r="I671" s="90" t="s">
        <v>1111</v>
      </c>
      <c r="J671" s="143">
        <v>0</v>
      </c>
      <c r="K671" s="143"/>
      <c r="L671" s="87">
        <v>70</v>
      </c>
      <c r="M671" s="92" t="str">
        <f t="shared" si="22"/>
        <v/>
      </c>
      <c r="N671" s="104">
        <v>64</v>
      </c>
      <c r="O671" s="92">
        <f t="shared" si="23"/>
        <v>9.375E-2</v>
      </c>
      <c r="P671" s="75" t="s">
        <v>334</v>
      </c>
      <c r="Q671" s="63">
        <v>0</v>
      </c>
      <c r="R671" s="63">
        <v>0</v>
      </c>
      <c r="S671" s="63">
        <v>0</v>
      </c>
      <c r="T671" s="97"/>
    </row>
    <row r="672" spans="1:20" ht="18" customHeight="1">
      <c r="A672" s="103"/>
      <c r="B672" s="104"/>
      <c r="C672" s="104"/>
      <c r="D672" s="104"/>
      <c r="E672" s="92"/>
      <c r="F672" s="104"/>
      <c r="G672" s="92"/>
      <c r="H672" s="90">
        <v>2081103</v>
      </c>
      <c r="I672" s="90" t="s">
        <v>1112</v>
      </c>
      <c r="J672" s="143">
        <v>0</v>
      </c>
      <c r="K672" s="143"/>
      <c r="L672" s="87">
        <v>0</v>
      </c>
      <c r="M672" s="92" t="str">
        <f t="shared" si="22"/>
        <v/>
      </c>
      <c r="N672" s="104">
        <v>0</v>
      </c>
      <c r="O672" s="92" t="str">
        <f t="shared" si="23"/>
        <v/>
      </c>
      <c r="P672" s="75" t="s">
        <v>337</v>
      </c>
      <c r="Q672" s="63">
        <v>6666</v>
      </c>
      <c r="R672" s="63">
        <v>7677</v>
      </c>
      <c r="S672" s="63">
        <v>6229</v>
      </c>
      <c r="T672" s="97"/>
    </row>
    <row r="673" spans="1:20" ht="18" customHeight="1">
      <c r="A673" s="103"/>
      <c r="B673" s="104"/>
      <c r="C673" s="104"/>
      <c r="D673" s="104"/>
      <c r="E673" s="92"/>
      <c r="F673" s="104"/>
      <c r="G673" s="92"/>
      <c r="H673" s="90">
        <v>2081104</v>
      </c>
      <c r="I673" s="90" t="s">
        <v>330</v>
      </c>
      <c r="J673" s="143">
        <v>5951</v>
      </c>
      <c r="K673" s="143"/>
      <c r="L673" s="87">
        <v>4225</v>
      </c>
      <c r="M673" s="92" t="str">
        <f t="shared" si="22"/>
        <v/>
      </c>
      <c r="N673" s="104">
        <v>1374</v>
      </c>
      <c r="O673" s="92">
        <f t="shared" si="23"/>
        <v>2.0749636098981079</v>
      </c>
      <c r="P673" s="75" t="s">
        <v>340</v>
      </c>
      <c r="Q673" s="63">
        <v>0</v>
      </c>
      <c r="R673" s="63">
        <v>0</v>
      </c>
      <c r="S673" s="63">
        <v>0</v>
      </c>
      <c r="T673" s="97"/>
    </row>
    <row r="674" spans="1:20" ht="18" customHeight="1">
      <c r="A674" s="103"/>
      <c r="B674" s="104"/>
      <c r="C674" s="104"/>
      <c r="D674" s="104"/>
      <c r="E674" s="92"/>
      <c r="F674" s="104"/>
      <c r="G674" s="92"/>
      <c r="H674" s="90">
        <v>2081105</v>
      </c>
      <c r="I674" s="90" t="s">
        <v>331</v>
      </c>
      <c r="J674" s="143">
        <v>2873</v>
      </c>
      <c r="K674" s="143"/>
      <c r="L674" s="87">
        <v>4318</v>
      </c>
      <c r="M674" s="92" t="str">
        <f t="shared" si="22"/>
        <v/>
      </c>
      <c r="N674" s="104">
        <v>226</v>
      </c>
      <c r="O674" s="92">
        <f t="shared" si="23"/>
        <v>18.106194690265486</v>
      </c>
      <c r="P674" s="75" t="s">
        <v>345</v>
      </c>
      <c r="Q674" s="63">
        <v>331</v>
      </c>
      <c r="R674" s="63">
        <v>343</v>
      </c>
      <c r="S674" s="63">
        <v>343</v>
      </c>
      <c r="T674" s="97"/>
    </row>
    <row r="675" spans="1:20" ht="18" customHeight="1">
      <c r="A675" s="103"/>
      <c r="B675" s="104"/>
      <c r="C675" s="104"/>
      <c r="D675" s="104"/>
      <c r="E675" s="92"/>
      <c r="F675" s="104"/>
      <c r="G675" s="92"/>
      <c r="H675" s="90">
        <v>2081106</v>
      </c>
      <c r="I675" s="90" t="s">
        <v>332</v>
      </c>
      <c r="J675" s="143">
        <v>88</v>
      </c>
      <c r="K675" s="143"/>
      <c r="L675" s="87">
        <v>75</v>
      </c>
      <c r="M675" s="92" t="str">
        <f t="shared" si="22"/>
        <v/>
      </c>
      <c r="N675" s="104">
        <v>61</v>
      </c>
      <c r="O675" s="92">
        <f t="shared" si="23"/>
        <v>0.22950819672131151</v>
      </c>
      <c r="P675" s="75" t="s">
        <v>347</v>
      </c>
      <c r="Q675" s="63">
        <v>0</v>
      </c>
      <c r="R675" s="63">
        <v>0</v>
      </c>
      <c r="S675" s="63">
        <v>0</v>
      </c>
      <c r="T675" s="97"/>
    </row>
    <row r="676" spans="1:20" ht="18" customHeight="1">
      <c r="A676" s="103"/>
      <c r="B676" s="104"/>
      <c r="C676" s="104"/>
      <c r="D676" s="104"/>
      <c r="E676" s="92"/>
      <c r="F676" s="104"/>
      <c r="G676" s="92"/>
      <c r="H676" s="90">
        <v>2081199</v>
      </c>
      <c r="I676" s="90" t="s">
        <v>333</v>
      </c>
      <c r="J676" s="143">
        <v>4316</v>
      </c>
      <c r="K676" s="143"/>
      <c r="L676" s="87">
        <v>769</v>
      </c>
      <c r="M676" s="92" t="str">
        <f t="shared" si="22"/>
        <v/>
      </c>
      <c r="N676" s="104">
        <v>489</v>
      </c>
      <c r="O676" s="92">
        <f t="shared" si="23"/>
        <v>0.57259713701431503</v>
      </c>
      <c r="P676" s="75" t="s">
        <v>350</v>
      </c>
      <c r="Q676" s="63">
        <v>0</v>
      </c>
      <c r="R676" s="63">
        <v>0</v>
      </c>
      <c r="S676" s="63">
        <v>0</v>
      </c>
      <c r="T676" s="97"/>
    </row>
    <row r="677" spans="1:20" ht="18" customHeight="1">
      <c r="A677" s="103"/>
      <c r="B677" s="104"/>
      <c r="C677" s="104"/>
      <c r="D677" s="104"/>
      <c r="E677" s="92"/>
      <c r="F677" s="104"/>
      <c r="G677" s="92"/>
      <c r="H677" s="90">
        <v>20812</v>
      </c>
      <c r="I677" s="80" t="s">
        <v>334</v>
      </c>
      <c r="J677" s="143">
        <v>1245</v>
      </c>
      <c r="K677" s="143"/>
      <c r="L677" s="104"/>
      <c r="M677" s="92" t="str">
        <f t="shared" si="22"/>
        <v/>
      </c>
      <c r="N677" s="104">
        <v>0</v>
      </c>
      <c r="O677" s="92" t="str">
        <f t="shared" si="23"/>
        <v/>
      </c>
      <c r="P677" s="75" t="s">
        <v>353</v>
      </c>
      <c r="Q677" s="63">
        <v>0</v>
      </c>
      <c r="R677" s="63">
        <v>0</v>
      </c>
      <c r="S677" s="63">
        <v>0</v>
      </c>
      <c r="T677" s="97"/>
    </row>
    <row r="678" spans="1:20" ht="18" customHeight="1">
      <c r="A678" s="103"/>
      <c r="B678" s="104"/>
      <c r="C678" s="104"/>
      <c r="D678" s="104"/>
      <c r="E678" s="92"/>
      <c r="F678" s="104"/>
      <c r="G678" s="92"/>
      <c r="H678" s="90">
        <v>2081201</v>
      </c>
      <c r="I678" s="90" t="s">
        <v>335</v>
      </c>
      <c r="J678" s="143">
        <v>1245</v>
      </c>
      <c r="K678" s="143"/>
      <c r="L678" s="104"/>
      <c r="M678" s="92" t="str">
        <f t="shared" si="22"/>
        <v/>
      </c>
      <c r="N678" s="104">
        <v>0</v>
      </c>
      <c r="O678" s="92" t="str">
        <f t="shared" si="23"/>
        <v/>
      </c>
      <c r="P678" s="75" t="s">
        <v>1026</v>
      </c>
      <c r="Q678" s="63">
        <v>113844</v>
      </c>
      <c r="R678" s="63">
        <v>67310</v>
      </c>
      <c r="S678" s="63">
        <v>66906</v>
      </c>
      <c r="T678" s="97"/>
    </row>
    <row r="679" spans="1:20" ht="18" customHeight="1">
      <c r="A679" s="103"/>
      <c r="B679" s="104"/>
      <c r="C679" s="104"/>
      <c r="D679" s="104"/>
      <c r="E679" s="92"/>
      <c r="F679" s="104"/>
      <c r="G679" s="92"/>
      <c r="H679" s="90">
        <v>2081202</v>
      </c>
      <c r="I679" s="90" t="s">
        <v>336</v>
      </c>
      <c r="J679" s="143"/>
      <c r="K679" s="143"/>
      <c r="L679" s="104"/>
      <c r="M679" s="92" t="str">
        <f t="shared" si="22"/>
        <v/>
      </c>
      <c r="N679" s="104">
        <v>0</v>
      </c>
      <c r="O679" s="92" t="str">
        <f t="shared" si="23"/>
        <v/>
      </c>
      <c r="P679" s="75" t="s">
        <v>1027</v>
      </c>
      <c r="Q679" s="63">
        <v>738374</v>
      </c>
      <c r="R679" s="63">
        <v>697311</v>
      </c>
      <c r="S679" s="63">
        <v>680640</v>
      </c>
      <c r="T679" s="97"/>
    </row>
    <row r="680" spans="1:20" ht="18" customHeight="1">
      <c r="A680" s="103"/>
      <c r="B680" s="104"/>
      <c r="C680" s="104"/>
      <c r="D680" s="104"/>
      <c r="E680" s="92"/>
      <c r="F680" s="104"/>
      <c r="G680" s="92"/>
      <c r="H680" s="90">
        <v>20813</v>
      </c>
      <c r="I680" s="80" t="s">
        <v>337</v>
      </c>
      <c r="J680" s="143">
        <v>418</v>
      </c>
      <c r="K680" s="143"/>
      <c r="L680" s="104"/>
      <c r="M680" s="92" t="str">
        <f t="shared" si="22"/>
        <v/>
      </c>
      <c r="N680" s="104">
        <v>6229</v>
      </c>
      <c r="O680" s="92">
        <f t="shared" si="23"/>
        <v>-1</v>
      </c>
      <c r="P680" s="75" t="s">
        <v>358</v>
      </c>
      <c r="Q680" s="63">
        <v>8199</v>
      </c>
      <c r="R680" s="63">
        <v>6938</v>
      </c>
      <c r="S680" s="63">
        <v>6929</v>
      </c>
      <c r="T680" s="97"/>
    </row>
    <row r="681" spans="1:20" ht="18" customHeight="1">
      <c r="A681" s="103"/>
      <c r="B681" s="104"/>
      <c r="C681" s="104"/>
      <c r="D681" s="104"/>
      <c r="E681" s="92"/>
      <c r="F681" s="104"/>
      <c r="G681" s="92"/>
      <c r="H681" s="90">
        <v>2081301</v>
      </c>
      <c r="I681" s="90" t="s">
        <v>338</v>
      </c>
      <c r="J681" s="143"/>
      <c r="K681" s="143"/>
      <c r="L681" s="104"/>
      <c r="M681" s="92" t="str">
        <f t="shared" si="22"/>
        <v/>
      </c>
      <c r="N681" s="104">
        <v>6228</v>
      </c>
      <c r="O681" s="92">
        <f t="shared" si="23"/>
        <v>-1</v>
      </c>
      <c r="P681" s="75" t="s">
        <v>360</v>
      </c>
      <c r="Q681" s="63">
        <v>179126</v>
      </c>
      <c r="R681" s="63">
        <v>175725</v>
      </c>
      <c r="S681" s="63">
        <v>175388</v>
      </c>
      <c r="T681" s="97"/>
    </row>
    <row r="682" spans="1:20" ht="18" customHeight="1">
      <c r="A682" s="103"/>
      <c r="B682" s="104"/>
      <c r="C682" s="104"/>
      <c r="D682" s="104"/>
      <c r="E682" s="92"/>
      <c r="F682" s="104"/>
      <c r="G682" s="92"/>
      <c r="H682" s="90">
        <v>2081399</v>
      </c>
      <c r="I682" s="90" t="s">
        <v>339</v>
      </c>
      <c r="J682" s="143">
        <v>418</v>
      </c>
      <c r="K682" s="143"/>
      <c r="L682" s="104"/>
      <c r="M682" s="92" t="str">
        <f t="shared" si="22"/>
        <v/>
      </c>
      <c r="N682" s="104">
        <v>1</v>
      </c>
      <c r="O682" s="92">
        <f t="shared" si="23"/>
        <v>-1</v>
      </c>
      <c r="P682" s="75" t="s">
        <v>373</v>
      </c>
      <c r="Q682" s="63">
        <v>1812</v>
      </c>
      <c r="R682" s="63">
        <v>3342</v>
      </c>
      <c r="S682" s="63">
        <v>282</v>
      </c>
      <c r="T682" s="97"/>
    </row>
    <row r="683" spans="1:20" ht="18" customHeight="1">
      <c r="A683" s="103"/>
      <c r="B683" s="104"/>
      <c r="C683" s="104"/>
      <c r="D683" s="104"/>
      <c r="E683" s="92"/>
      <c r="F683" s="104"/>
      <c r="G683" s="92"/>
      <c r="H683" s="90">
        <v>20815</v>
      </c>
      <c r="I683" s="80" t="s">
        <v>340</v>
      </c>
      <c r="J683" s="143">
        <v>7000</v>
      </c>
      <c r="K683" s="143"/>
      <c r="L683" s="104"/>
      <c r="M683" s="92" t="str">
        <f t="shared" si="22"/>
        <v/>
      </c>
      <c r="N683" s="104">
        <v>0</v>
      </c>
      <c r="O683" s="92" t="str">
        <f t="shared" si="23"/>
        <v/>
      </c>
      <c r="P683" s="75" t="s">
        <v>377</v>
      </c>
      <c r="Q683" s="63">
        <v>57373</v>
      </c>
      <c r="R683" s="63">
        <v>59494</v>
      </c>
      <c r="S683" s="63">
        <v>52310</v>
      </c>
      <c r="T683" s="97"/>
    </row>
    <row r="684" spans="1:20" ht="18" customHeight="1">
      <c r="A684" s="103"/>
      <c r="B684" s="104"/>
      <c r="C684" s="104"/>
      <c r="D684" s="104"/>
      <c r="E684" s="92"/>
      <c r="F684" s="104"/>
      <c r="G684" s="92"/>
      <c r="H684" s="90">
        <v>2081501</v>
      </c>
      <c r="I684" s="90" t="s">
        <v>341</v>
      </c>
      <c r="J684" s="143">
        <v>0</v>
      </c>
      <c r="K684" s="143"/>
      <c r="L684" s="104"/>
      <c r="M684" s="92" t="str">
        <f t="shared" si="22"/>
        <v/>
      </c>
      <c r="N684" s="104">
        <v>0</v>
      </c>
      <c r="O684" s="92" t="str">
        <f t="shared" si="23"/>
        <v/>
      </c>
      <c r="P684" s="75" t="s">
        <v>389</v>
      </c>
      <c r="Q684" s="63">
        <v>75104</v>
      </c>
      <c r="R684" s="63">
        <v>61482</v>
      </c>
      <c r="S684" s="63">
        <v>58595</v>
      </c>
      <c r="T684" s="97"/>
    </row>
    <row r="685" spans="1:20" ht="18" customHeight="1">
      <c r="A685" s="103"/>
      <c r="B685" s="104"/>
      <c r="C685" s="104"/>
      <c r="D685" s="104"/>
      <c r="E685" s="92"/>
      <c r="F685" s="104"/>
      <c r="G685" s="92"/>
      <c r="H685" s="90">
        <v>2081502</v>
      </c>
      <c r="I685" s="90" t="s">
        <v>342</v>
      </c>
      <c r="J685" s="143">
        <v>0</v>
      </c>
      <c r="K685" s="143"/>
      <c r="L685" s="104"/>
      <c r="M685" s="92" t="str">
        <f t="shared" si="22"/>
        <v/>
      </c>
      <c r="N685" s="104">
        <v>0</v>
      </c>
      <c r="O685" s="92" t="str">
        <f t="shared" si="23"/>
        <v/>
      </c>
      <c r="P685" s="75" t="s">
        <v>399</v>
      </c>
      <c r="Q685" s="63">
        <v>1008</v>
      </c>
      <c r="R685" s="63">
        <v>1008</v>
      </c>
      <c r="S685" s="63">
        <v>1008</v>
      </c>
      <c r="T685" s="97"/>
    </row>
    <row r="686" spans="1:20" ht="18" customHeight="1">
      <c r="A686" s="103"/>
      <c r="B686" s="104"/>
      <c r="C686" s="104"/>
      <c r="D686" s="104"/>
      <c r="E686" s="92"/>
      <c r="F686" s="104"/>
      <c r="G686" s="92"/>
      <c r="H686" s="90">
        <v>2081503</v>
      </c>
      <c r="I686" s="90" t="s">
        <v>343</v>
      </c>
      <c r="J686" s="143">
        <v>0</v>
      </c>
      <c r="K686" s="143"/>
      <c r="L686" s="104"/>
      <c r="M686" s="92" t="str">
        <f t="shared" si="22"/>
        <v/>
      </c>
      <c r="N686" s="104">
        <v>0</v>
      </c>
      <c r="O686" s="92" t="str">
        <f t="shared" si="23"/>
        <v/>
      </c>
      <c r="P686" s="75" t="s">
        <v>402</v>
      </c>
      <c r="Q686" s="63">
        <v>5508</v>
      </c>
      <c r="R686" s="63">
        <v>6292</v>
      </c>
      <c r="S686" s="63">
        <v>6145</v>
      </c>
      <c r="T686" s="97"/>
    </row>
    <row r="687" spans="1:20" ht="18" customHeight="1">
      <c r="A687" s="103"/>
      <c r="B687" s="104"/>
      <c r="C687" s="104"/>
      <c r="D687" s="104"/>
      <c r="E687" s="92"/>
      <c r="F687" s="104"/>
      <c r="G687" s="92"/>
      <c r="H687" s="90">
        <v>2081599</v>
      </c>
      <c r="I687" s="90" t="s">
        <v>344</v>
      </c>
      <c r="J687" s="143">
        <v>7000</v>
      </c>
      <c r="K687" s="143"/>
      <c r="L687" s="104"/>
      <c r="M687" s="92" t="str">
        <f t="shared" si="22"/>
        <v/>
      </c>
      <c r="N687" s="104">
        <v>0</v>
      </c>
      <c r="O687" s="92" t="str">
        <f t="shared" si="23"/>
        <v/>
      </c>
      <c r="P687" s="75" t="s">
        <v>411</v>
      </c>
      <c r="Q687" s="63">
        <v>10656</v>
      </c>
      <c r="R687" s="63">
        <v>11201</v>
      </c>
      <c r="S687" s="63">
        <v>11147</v>
      </c>
      <c r="T687" s="97"/>
    </row>
    <row r="688" spans="1:20" ht="18" customHeight="1">
      <c r="A688" s="103"/>
      <c r="B688" s="104"/>
      <c r="C688" s="104"/>
      <c r="D688" s="104"/>
      <c r="E688" s="92"/>
      <c r="F688" s="104"/>
      <c r="G688" s="92"/>
      <c r="H688" s="90">
        <v>20816</v>
      </c>
      <c r="I688" s="80" t="s">
        <v>345</v>
      </c>
      <c r="J688" s="143">
        <v>358</v>
      </c>
      <c r="K688" s="647">
        <v>394</v>
      </c>
      <c r="L688" s="87">
        <v>394</v>
      </c>
      <c r="M688" s="92">
        <f t="shared" si="22"/>
        <v>1</v>
      </c>
      <c r="N688" s="104">
        <v>343</v>
      </c>
      <c r="O688" s="92">
        <f t="shared" si="23"/>
        <v>0.14868804664723023</v>
      </c>
      <c r="P688" s="75" t="s">
        <v>1028</v>
      </c>
      <c r="Q688" s="63">
        <v>399588</v>
      </c>
      <c r="R688" s="63">
        <v>371829</v>
      </c>
      <c r="S688" s="63">
        <v>368836</v>
      </c>
      <c r="T688" s="97"/>
    </row>
    <row r="689" spans="1:20" ht="18" customHeight="1">
      <c r="A689" s="103"/>
      <c r="B689" s="104"/>
      <c r="C689" s="104"/>
      <c r="D689" s="104"/>
      <c r="E689" s="92"/>
      <c r="F689" s="104"/>
      <c r="G689" s="92"/>
      <c r="H689" s="90">
        <v>2081601</v>
      </c>
      <c r="I689" s="90" t="s">
        <v>1110</v>
      </c>
      <c r="J689" s="143">
        <v>187</v>
      </c>
      <c r="K689" s="143"/>
      <c r="L689" s="87">
        <v>214</v>
      </c>
      <c r="M689" s="92" t="str">
        <f t="shared" si="22"/>
        <v/>
      </c>
      <c r="N689" s="104">
        <v>180</v>
      </c>
      <c r="O689" s="92">
        <f t="shared" si="23"/>
        <v>0.18888888888888888</v>
      </c>
      <c r="T689" s="97"/>
    </row>
    <row r="690" spans="1:20" ht="18" customHeight="1">
      <c r="A690" s="103"/>
      <c r="B690" s="104"/>
      <c r="C690" s="104"/>
      <c r="D690" s="104"/>
      <c r="E690" s="92"/>
      <c r="F690" s="104"/>
      <c r="G690" s="92"/>
      <c r="H690" s="90">
        <v>2081602</v>
      </c>
      <c r="I690" s="90" t="s">
        <v>1111</v>
      </c>
      <c r="J690" s="143">
        <v>171</v>
      </c>
      <c r="K690" s="143"/>
      <c r="L690" s="87">
        <v>180</v>
      </c>
      <c r="M690" s="92" t="str">
        <f t="shared" si="22"/>
        <v/>
      </c>
      <c r="N690" s="104">
        <v>163</v>
      </c>
      <c r="O690" s="92">
        <f t="shared" si="23"/>
        <v>0.10429447852760743</v>
      </c>
      <c r="T690" s="97"/>
    </row>
    <row r="691" spans="1:20" ht="18" customHeight="1">
      <c r="A691" s="103"/>
      <c r="B691" s="104"/>
      <c r="C691" s="104"/>
      <c r="D691" s="104"/>
      <c r="E691" s="92"/>
      <c r="F691" s="104"/>
      <c r="G691" s="92"/>
      <c r="H691" s="90">
        <v>2081603</v>
      </c>
      <c r="I691" s="90" t="s">
        <v>1112</v>
      </c>
      <c r="J691" s="104"/>
      <c r="K691" s="104"/>
      <c r="L691" s="104"/>
      <c r="M691" s="92" t="str">
        <f t="shared" si="22"/>
        <v/>
      </c>
      <c r="N691" s="104">
        <v>0</v>
      </c>
      <c r="O691" s="92" t="str">
        <f t="shared" si="23"/>
        <v/>
      </c>
      <c r="T691" s="97"/>
    </row>
    <row r="692" spans="1:20" ht="18" customHeight="1">
      <c r="A692" s="103"/>
      <c r="B692" s="104"/>
      <c r="C692" s="104"/>
      <c r="D692" s="104"/>
      <c r="E692" s="92"/>
      <c r="F692" s="104"/>
      <c r="G692" s="92"/>
      <c r="H692" s="90">
        <v>2081699</v>
      </c>
      <c r="I692" s="90" t="s">
        <v>346</v>
      </c>
      <c r="J692" s="104"/>
      <c r="K692" s="104"/>
      <c r="L692" s="104"/>
      <c r="M692" s="92" t="str">
        <f t="shared" si="22"/>
        <v/>
      </c>
      <c r="N692" s="104">
        <v>0</v>
      </c>
      <c r="O692" s="92" t="str">
        <f t="shared" si="23"/>
        <v/>
      </c>
      <c r="T692" s="97"/>
    </row>
    <row r="693" spans="1:20" ht="18" customHeight="1">
      <c r="A693" s="103"/>
      <c r="B693" s="104"/>
      <c r="C693" s="104"/>
      <c r="D693" s="104"/>
      <c r="E693" s="92"/>
      <c r="F693" s="104"/>
      <c r="G693" s="92"/>
      <c r="H693" s="90"/>
      <c r="I693" s="657" t="s">
        <v>1268</v>
      </c>
      <c r="J693" s="143">
        <v>6491</v>
      </c>
      <c r="K693" s="647">
        <v>5675</v>
      </c>
      <c r="L693" s="87">
        <v>5675</v>
      </c>
      <c r="M693" s="92">
        <f t="shared" si="22"/>
        <v>1</v>
      </c>
      <c r="N693" s="104"/>
      <c r="O693" s="92" t="str">
        <f t="shared" si="23"/>
        <v/>
      </c>
      <c r="T693" s="97"/>
    </row>
    <row r="694" spans="1:20" ht="18" customHeight="1">
      <c r="A694" s="103"/>
      <c r="B694" s="104"/>
      <c r="C694" s="104"/>
      <c r="D694" s="104"/>
      <c r="E694" s="92"/>
      <c r="F694" s="104"/>
      <c r="G694" s="92"/>
      <c r="H694" s="90"/>
      <c r="I694" s="113" t="s">
        <v>1270</v>
      </c>
      <c r="J694" s="143">
        <v>50</v>
      </c>
      <c r="K694" s="143"/>
      <c r="L694" s="87">
        <v>0</v>
      </c>
      <c r="M694" s="92" t="str">
        <f t="shared" si="22"/>
        <v/>
      </c>
      <c r="N694" s="104"/>
      <c r="O694" s="92" t="str">
        <f t="shared" si="23"/>
        <v/>
      </c>
      <c r="T694" s="97"/>
    </row>
    <row r="695" spans="1:20" ht="18" customHeight="1">
      <c r="A695" s="103"/>
      <c r="B695" s="104"/>
      <c r="C695" s="104"/>
      <c r="D695" s="104"/>
      <c r="E695" s="92"/>
      <c r="F695" s="104"/>
      <c r="G695" s="92"/>
      <c r="H695" s="90"/>
      <c r="I695" s="113" t="s">
        <v>1271</v>
      </c>
      <c r="J695" s="143">
        <v>6441</v>
      </c>
      <c r="K695" s="143"/>
      <c r="L695" s="87">
        <v>5675</v>
      </c>
      <c r="M695" s="92" t="str">
        <f t="shared" si="22"/>
        <v/>
      </c>
      <c r="N695" s="104"/>
      <c r="O695" s="92" t="str">
        <f t="shared" si="23"/>
        <v/>
      </c>
      <c r="T695" s="97"/>
    </row>
    <row r="696" spans="1:20" ht="18" customHeight="1">
      <c r="A696" s="103"/>
      <c r="B696" s="104"/>
      <c r="C696" s="104"/>
      <c r="D696" s="104"/>
      <c r="E696" s="92"/>
      <c r="F696" s="104"/>
      <c r="G696" s="92"/>
      <c r="H696" s="90">
        <v>20817</v>
      </c>
      <c r="I696" s="80" t="s">
        <v>347</v>
      </c>
      <c r="J696" s="104"/>
      <c r="K696" s="104"/>
      <c r="L696" s="104"/>
      <c r="M696" s="92" t="str">
        <f t="shared" si="22"/>
        <v/>
      </c>
      <c r="N696" s="104">
        <v>0</v>
      </c>
      <c r="O696" s="92" t="str">
        <f t="shared" si="23"/>
        <v/>
      </c>
      <c r="T696" s="97"/>
    </row>
    <row r="697" spans="1:20" ht="18" customHeight="1">
      <c r="A697" s="103"/>
      <c r="B697" s="104"/>
      <c r="C697" s="104"/>
      <c r="D697" s="104"/>
      <c r="E697" s="92"/>
      <c r="F697" s="104"/>
      <c r="G697" s="92"/>
      <c r="H697" s="90">
        <v>2081701</v>
      </c>
      <c r="I697" s="90" t="s">
        <v>348</v>
      </c>
      <c r="J697" s="104"/>
      <c r="K697" s="104"/>
      <c r="L697" s="104"/>
      <c r="M697" s="92" t="str">
        <f t="shared" si="22"/>
        <v/>
      </c>
      <c r="N697" s="104">
        <v>0</v>
      </c>
      <c r="O697" s="92" t="str">
        <f t="shared" si="23"/>
        <v/>
      </c>
      <c r="T697" s="97"/>
    </row>
    <row r="698" spans="1:20" ht="18" customHeight="1">
      <c r="A698" s="103"/>
      <c r="B698" s="104"/>
      <c r="C698" s="104"/>
      <c r="D698" s="104"/>
      <c r="E698" s="92"/>
      <c r="F698" s="104"/>
      <c r="G698" s="92"/>
      <c r="H698" s="90">
        <v>2081702</v>
      </c>
      <c r="I698" s="90" t="s">
        <v>349</v>
      </c>
      <c r="J698" s="104"/>
      <c r="K698" s="104"/>
      <c r="L698" s="104"/>
      <c r="M698" s="92" t="str">
        <f t="shared" si="22"/>
        <v/>
      </c>
      <c r="N698" s="104">
        <v>0</v>
      </c>
      <c r="O698" s="92" t="str">
        <f t="shared" si="23"/>
        <v/>
      </c>
      <c r="T698" s="97"/>
    </row>
    <row r="699" spans="1:20" ht="18" customHeight="1">
      <c r="A699" s="103"/>
      <c r="B699" s="104"/>
      <c r="C699" s="104"/>
      <c r="D699" s="104"/>
      <c r="E699" s="92"/>
      <c r="F699" s="104"/>
      <c r="G699" s="92"/>
      <c r="H699" s="90">
        <v>20818</v>
      </c>
      <c r="I699" s="80" t="s">
        <v>350</v>
      </c>
      <c r="J699" s="104"/>
      <c r="K699" s="104"/>
      <c r="L699" s="104"/>
      <c r="M699" s="92" t="str">
        <f t="shared" si="22"/>
        <v/>
      </c>
      <c r="N699" s="104">
        <v>0</v>
      </c>
      <c r="O699" s="92" t="str">
        <f t="shared" si="23"/>
        <v/>
      </c>
      <c r="T699" s="97"/>
    </row>
    <row r="700" spans="1:20" ht="18" customHeight="1">
      <c r="A700" s="103"/>
      <c r="B700" s="104"/>
      <c r="C700" s="104"/>
      <c r="D700" s="104"/>
      <c r="E700" s="92"/>
      <c r="F700" s="104"/>
      <c r="G700" s="92"/>
      <c r="H700" s="90">
        <v>2081801</v>
      </c>
      <c r="I700" s="90" t="s">
        <v>351</v>
      </c>
      <c r="J700" s="104"/>
      <c r="K700" s="104"/>
      <c r="L700" s="104"/>
      <c r="M700" s="92" t="str">
        <f t="shared" si="22"/>
        <v/>
      </c>
      <c r="N700" s="104">
        <v>0</v>
      </c>
      <c r="O700" s="92" t="str">
        <f t="shared" si="23"/>
        <v/>
      </c>
      <c r="T700" s="97"/>
    </row>
    <row r="701" spans="1:20" ht="18" customHeight="1">
      <c r="A701" s="103"/>
      <c r="B701" s="104"/>
      <c r="C701" s="104"/>
      <c r="D701" s="104"/>
      <c r="E701" s="92"/>
      <c r="F701" s="104"/>
      <c r="G701" s="92"/>
      <c r="H701" s="90">
        <v>2081899</v>
      </c>
      <c r="I701" s="90" t="s">
        <v>352</v>
      </c>
      <c r="J701" s="104"/>
      <c r="K701" s="104"/>
      <c r="L701" s="104"/>
      <c r="M701" s="92" t="str">
        <f t="shared" si="22"/>
        <v/>
      </c>
      <c r="N701" s="104">
        <v>0</v>
      </c>
      <c r="O701" s="92" t="str">
        <f t="shared" si="23"/>
        <v/>
      </c>
      <c r="T701" s="97"/>
    </row>
    <row r="702" spans="1:20" ht="18" customHeight="1">
      <c r="A702" s="103"/>
      <c r="B702" s="104"/>
      <c r="C702" s="104"/>
      <c r="D702" s="104"/>
      <c r="E702" s="92"/>
      <c r="F702" s="104"/>
      <c r="G702" s="92"/>
      <c r="H702" s="90">
        <v>20824</v>
      </c>
      <c r="I702" s="114" t="s">
        <v>353</v>
      </c>
      <c r="J702" s="104"/>
      <c r="K702" s="104"/>
      <c r="L702" s="104"/>
      <c r="M702" s="92" t="str">
        <f t="shared" si="22"/>
        <v/>
      </c>
      <c r="N702" s="104">
        <v>0</v>
      </c>
      <c r="O702" s="92" t="str">
        <f t="shared" si="23"/>
        <v/>
      </c>
      <c r="T702" s="97"/>
    </row>
    <row r="703" spans="1:20" ht="18" customHeight="1">
      <c r="A703" s="103"/>
      <c r="B703" s="104"/>
      <c r="C703" s="104"/>
      <c r="D703" s="104"/>
      <c r="E703" s="92"/>
      <c r="F703" s="104"/>
      <c r="G703" s="92"/>
      <c r="H703" s="90">
        <v>2082401</v>
      </c>
      <c r="I703" s="115" t="s">
        <v>354</v>
      </c>
      <c r="J703" s="104"/>
      <c r="K703" s="104"/>
      <c r="L703" s="104"/>
      <c r="M703" s="92" t="str">
        <f t="shared" si="22"/>
        <v/>
      </c>
      <c r="N703" s="104">
        <v>0</v>
      </c>
      <c r="O703" s="92" t="str">
        <f t="shared" si="23"/>
        <v/>
      </c>
      <c r="T703" s="97"/>
    </row>
    <row r="704" spans="1:20" ht="18" customHeight="1">
      <c r="A704" s="103"/>
      <c r="B704" s="104"/>
      <c r="C704" s="104"/>
      <c r="D704" s="104"/>
      <c r="E704" s="92"/>
      <c r="F704" s="104"/>
      <c r="G704" s="92"/>
      <c r="H704" s="90">
        <v>2082402</v>
      </c>
      <c r="I704" s="115" t="s">
        <v>355</v>
      </c>
      <c r="J704" s="104"/>
      <c r="K704" s="104"/>
      <c r="L704" s="104"/>
      <c r="M704" s="92" t="str">
        <f t="shared" si="22"/>
        <v/>
      </c>
      <c r="N704" s="104">
        <v>0</v>
      </c>
      <c r="O704" s="92" t="str">
        <f t="shared" si="23"/>
        <v/>
      </c>
      <c r="T704" s="97"/>
    </row>
    <row r="705" spans="1:21" ht="18" customHeight="1">
      <c r="A705" s="103"/>
      <c r="B705" s="104"/>
      <c r="C705" s="104"/>
      <c r="D705" s="104"/>
      <c r="E705" s="92"/>
      <c r="F705" s="104"/>
      <c r="G705" s="92"/>
      <c r="H705" s="90">
        <v>20899</v>
      </c>
      <c r="I705" s="80" t="s">
        <v>356</v>
      </c>
      <c r="J705" s="108">
        <f>-500000+549376</f>
        <v>49376</v>
      </c>
      <c r="K705" s="647">
        <v>88740</v>
      </c>
      <c r="L705" s="87">
        <v>8740</v>
      </c>
      <c r="M705" s="92">
        <f t="shared" si="22"/>
        <v>9.8489970700924051E-2</v>
      </c>
      <c r="N705" s="104">
        <v>66906</v>
      </c>
      <c r="O705" s="92">
        <f t="shared" si="23"/>
        <v>-0.8693689654141632</v>
      </c>
      <c r="T705" s="97"/>
    </row>
    <row r="706" spans="1:21" ht="18" customHeight="1">
      <c r="A706" s="103"/>
      <c r="B706" s="104"/>
      <c r="C706" s="104"/>
      <c r="D706" s="104"/>
      <c r="E706" s="92"/>
      <c r="F706" s="104"/>
      <c r="G706" s="92"/>
      <c r="H706" s="90">
        <v>2089901</v>
      </c>
      <c r="I706" s="90" t="s">
        <v>357</v>
      </c>
      <c r="J706" s="108">
        <f>-500000+549376</f>
        <v>49376</v>
      </c>
      <c r="K706" s="108"/>
      <c r="L706" s="87">
        <v>8740</v>
      </c>
      <c r="M706" s="92" t="str">
        <f t="shared" si="22"/>
        <v/>
      </c>
      <c r="N706" s="104">
        <v>66906</v>
      </c>
      <c r="O706" s="92">
        <f t="shared" si="23"/>
        <v>-0.8693689654141632</v>
      </c>
      <c r="T706" s="97"/>
    </row>
    <row r="707" spans="1:21" s="112" customFormat="1" ht="18" customHeight="1">
      <c r="A707" s="111"/>
      <c r="B707" s="109"/>
      <c r="C707" s="109"/>
      <c r="D707" s="109"/>
      <c r="E707" s="82"/>
      <c r="F707" s="109"/>
      <c r="G707" s="82"/>
      <c r="H707" s="80">
        <v>210</v>
      </c>
      <c r="I707" s="80" t="s">
        <v>1432</v>
      </c>
      <c r="J707" s="110">
        <f>-500000+1253527</f>
        <v>753527</v>
      </c>
      <c r="K707" s="656">
        <v>507350</v>
      </c>
      <c r="L707" s="77">
        <v>501115</v>
      </c>
      <c r="M707" s="82">
        <f t="shared" si="22"/>
        <v>0.98771065339509212</v>
      </c>
      <c r="N707" s="109">
        <v>680640</v>
      </c>
      <c r="O707" s="82">
        <f t="shared" si="23"/>
        <v>-0.26375910907381284</v>
      </c>
      <c r="P707" s="84"/>
      <c r="T707" s="96"/>
    </row>
    <row r="708" spans="1:21" ht="18" customHeight="1">
      <c r="A708" s="103"/>
      <c r="B708" s="104"/>
      <c r="C708" s="104"/>
      <c r="D708" s="104"/>
      <c r="E708" s="92"/>
      <c r="F708" s="104"/>
      <c r="G708" s="92"/>
      <c r="H708" s="90">
        <v>21001</v>
      </c>
      <c r="I708" s="80" t="s">
        <v>358</v>
      </c>
      <c r="J708" s="143">
        <v>7979</v>
      </c>
      <c r="K708" s="647">
        <v>8564</v>
      </c>
      <c r="L708" s="87">
        <v>8564</v>
      </c>
      <c r="M708" s="92">
        <f t="shared" si="22"/>
        <v>1</v>
      </c>
      <c r="N708" s="104">
        <v>6929</v>
      </c>
      <c r="O708" s="92">
        <f t="shared" si="23"/>
        <v>0.23596478568335977</v>
      </c>
      <c r="T708" s="96" t="s">
        <v>1063</v>
      </c>
      <c r="U708" s="63">
        <v>542827</v>
      </c>
    </row>
    <row r="709" spans="1:21" ht="18" customHeight="1">
      <c r="A709" s="103"/>
      <c r="B709" s="104"/>
      <c r="C709" s="104"/>
      <c r="D709" s="104"/>
      <c r="E709" s="92"/>
      <c r="F709" s="104"/>
      <c r="G709" s="92"/>
      <c r="H709" s="90">
        <v>2100101</v>
      </c>
      <c r="I709" s="90" t="s">
        <v>1110</v>
      </c>
      <c r="J709" s="143">
        <v>3240</v>
      </c>
      <c r="K709" s="143"/>
      <c r="L709" s="87">
        <v>4014</v>
      </c>
      <c r="M709" s="92" t="str">
        <f t="shared" si="22"/>
        <v/>
      </c>
      <c r="N709" s="104">
        <v>3549</v>
      </c>
      <c r="O709" s="92">
        <f t="shared" si="23"/>
        <v>0.13102282333051574</v>
      </c>
      <c r="T709" s="97" t="s">
        <v>358</v>
      </c>
      <c r="U709" s="63">
        <v>6062</v>
      </c>
    </row>
    <row r="710" spans="1:21" ht="18" customHeight="1">
      <c r="A710" s="103"/>
      <c r="B710" s="104"/>
      <c r="C710" s="104"/>
      <c r="D710" s="104"/>
      <c r="E710" s="92"/>
      <c r="F710" s="104"/>
      <c r="G710" s="92"/>
      <c r="H710" s="90">
        <v>2100102</v>
      </c>
      <c r="I710" s="90" t="s">
        <v>1111</v>
      </c>
      <c r="J710" s="143">
        <v>3658</v>
      </c>
      <c r="K710" s="143"/>
      <c r="L710" s="87">
        <v>3328</v>
      </c>
      <c r="M710" s="92" t="str">
        <f t="shared" ref="M710:M773" si="24">+IF(ISERROR(L710/K710),"",L710/K710)</f>
        <v/>
      </c>
      <c r="N710" s="104">
        <v>2583</v>
      </c>
      <c r="O710" s="92">
        <f t="shared" si="23"/>
        <v>0.28842431281455672</v>
      </c>
      <c r="T710" s="97" t="s">
        <v>360</v>
      </c>
      <c r="U710" s="63">
        <v>138451</v>
      </c>
    </row>
    <row r="711" spans="1:21" ht="18" customHeight="1">
      <c r="A711" s="103"/>
      <c r="B711" s="104"/>
      <c r="C711" s="104"/>
      <c r="D711" s="104"/>
      <c r="E711" s="92"/>
      <c r="F711" s="104"/>
      <c r="G711" s="92"/>
      <c r="H711" s="90">
        <v>2100103</v>
      </c>
      <c r="I711" s="90" t="s">
        <v>1112</v>
      </c>
      <c r="J711" s="143">
        <v>86</v>
      </c>
      <c r="K711" s="143"/>
      <c r="L711" s="87">
        <v>66</v>
      </c>
      <c r="M711" s="92" t="str">
        <f t="shared" si="24"/>
        <v/>
      </c>
      <c r="N711" s="104">
        <v>0</v>
      </c>
      <c r="O711" s="92" t="str">
        <f t="shared" ref="O711:O774" si="25">IF(ISERROR(L711/N711-1),"",(L711/N711-1))</f>
        <v/>
      </c>
      <c r="T711" s="97" t="s">
        <v>373</v>
      </c>
      <c r="U711" s="63">
        <v>0</v>
      </c>
    </row>
    <row r="712" spans="1:21" ht="18" customHeight="1">
      <c r="A712" s="103"/>
      <c r="B712" s="104"/>
      <c r="C712" s="104"/>
      <c r="D712" s="104"/>
      <c r="E712" s="92"/>
      <c r="F712" s="104"/>
      <c r="G712" s="92"/>
      <c r="H712" s="90">
        <v>2100199</v>
      </c>
      <c r="I712" s="90" t="s">
        <v>359</v>
      </c>
      <c r="J712" s="143">
        <v>995</v>
      </c>
      <c r="K712" s="143"/>
      <c r="L712" s="87">
        <v>1156</v>
      </c>
      <c r="M712" s="92" t="str">
        <f t="shared" si="24"/>
        <v/>
      </c>
      <c r="N712" s="104">
        <v>797</v>
      </c>
      <c r="O712" s="92">
        <f t="shared" si="25"/>
        <v>0.45043914680050179</v>
      </c>
      <c r="T712" s="97" t="s">
        <v>377</v>
      </c>
      <c r="U712" s="63">
        <v>46069</v>
      </c>
    </row>
    <row r="713" spans="1:21" ht="18" customHeight="1">
      <c r="A713" s="103"/>
      <c r="B713" s="104"/>
      <c r="C713" s="104"/>
      <c r="D713" s="104"/>
      <c r="E713" s="92"/>
      <c r="F713" s="104"/>
      <c r="G713" s="92"/>
      <c r="H713" s="90">
        <v>21002</v>
      </c>
      <c r="I713" s="80" t="s">
        <v>360</v>
      </c>
      <c r="J713" s="143">
        <v>459207</v>
      </c>
      <c r="K713" s="647">
        <v>246186</v>
      </c>
      <c r="L713" s="87">
        <v>243243</v>
      </c>
      <c r="M713" s="92">
        <f t="shared" si="24"/>
        <v>0.98804562404035978</v>
      </c>
      <c r="N713" s="104">
        <v>175388</v>
      </c>
      <c r="O713" s="92">
        <f t="shared" si="25"/>
        <v>0.38688507765639613</v>
      </c>
      <c r="T713" s="97" t="s">
        <v>389</v>
      </c>
      <c r="U713" s="63">
        <v>54818</v>
      </c>
    </row>
    <row r="714" spans="1:21" ht="18" customHeight="1">
      <c r="A714" s="103"/>
      <c r="B714" s="104"/>
      <c r="C714" s="104"/>
      <c r="D714" s="104"/>
      <c r="E714" s="92"/>
      <c r="F714" s="104"/>
      <c r="G714" s="92"/>
      <c r="H714" s="90">
        <v>2100201</v>
      </c>
      <c r="I714" s="90" t="s">
        <v>361</v>
      </c>
      <c r="J714" s="143">
        <v>338974</v>
      </c>
      <c r="K714" s="143"/>
      <c r="L714" s="87">
        <v>149183</v>
      </c>
      <c r="M714" s="92" t="str">
        <f t="shared" si="24"/>
        <v/>
      </c>
      <c r="N714" s="104">
        <v>98015</v>
      </c>
      <c r="O714" s="92">
        <f t="shared" si="25"/>
        <v>0.52204254450849352</v>
      </c>
      <c r="T714" s="97" t="s">
        <v>399</v>
      </c>
      <c r="U714" s="63">
        <v>1278</v>
      </c>
    </row>
    <row r="715" spans="1:21" ht="18" customHeight="1">
      <c r="A715" s="103"/>
      <c r="B715" s="104"/>
      <c r="C715" s="104"/>
      <c r="D715" s="104"/>
      <c r="E715" s="92"/>
      <c r="F715" s="104"/>
      <c r="G715" s="92"/>
      <c r="H715" s="90">
        <v>2100202</v>
      </c>
      <c r="I715" s="90" t="s">
        <v>362</v>
      </c>
      <c r="J715" s="143">
        <v>24024</v>
      </c>
      <c r="K715" s="143"/>
      <c r="L715" s="87">
        <v>19522</v>
      </c>
      <c r="M715" s="92" t="str">
        <f t="shared" si="24"/>
        <v/>
      </c>
      <c r="N715" s="104">
        <v>15930</v>
      </c>
      <c r="O715" s="92">
        <f t="shared" si="25"/>
        <v>0.22548650345260524</v>
      </c>
      <c r="T715" s="97" t="s">
        <v>411</v>
      </c>
      <c r="U715" s="63">
        <v>10506</v>
      </c>
    </row>
    <row r="716" spans="1:21" ht="18" customHeight="1">
      <c r="A716" s="103"/>
      <c r="B716" s="104"/>
      <c r="C716" s="104"/>
      <c r="D716" s="104"/>
      <c r="E716" s="92"/>
      <c r="F716" s="104"/>
      <c r="G716" s="92"/>
      <c r="H716" s="90">
        <v>2100203</v>
      </c>
      <c r="I716" s="90" t="s">
        <v>363</v>
      </c>
      <c r="J716" s="143">
        <v>12902</v>
      </c>
      <c r="K716" s="143"/>
      <c r="L716" s="87">
        <v>14470</v>
      </c>
      <c r="M716" s="92" t="str">
        <f t="shared" si="24"/>
        <v/>
      </c>
      <c r="N716" s="104">
        <v>10775</v>
      </c>
      <c r="O716" s="92">
        <f t="shared" si="25"/>
        <v>0.34292343387471003</v>
      </c>
      <c r="T716" s="97" t="s">
        <v>1064</v>
      </c>
      <c r="U716" s="63">
        <v>285643</v>
      </c>
    </row>
    <row r="717" spans="1:21" ht="18" customHeight="1">
      <c r="A717" s="103"/>
      <c r="B717" s="104"/>
      <c r="C717" s="104"/>
      <c r="D717" s="104"/>
      <c r="E717" s="92"/>
      <c r="F717" s="104"/>
      <c r="G717" s="92"/>
      <c r="H717" s="90">
        <v>2100204</v>
      </c>
      <c r="I717" s="90" t="s">
        <v>364</v>
      </c>
      <c r="J717" s="143">
        <v>9624</v>
      </c>
      <c r="K717" s="143"/>
      <c r="L717" s="87">
        <v>6975</v>
      </c>
      <c r="M717" s="92" t="str">
        <f t="shared" si="24"/>
        <v/>
      </c>
      <c r="N717" s="104">
        <v>6606</v>
      </c>
      <c r="O717" s="92">
        <f t="shared" si="25"/>
        <v>5.5858310626702989E-2</v>
      </c>
      <c r="T717" s="97"/>
    </row>
    <row r="718" spans="1:21" ht="18" customHeight="1">
      <c r="A718" s="103"/>
      <c r="B718" s="104"/>
      <c r="C718" s="104"/>
      <c r="D718" s="104"/>
      <c r="E718" s="92"/>
      <c r="F718" s="104"/>
      <c r="G718" s="92"/>
      <c r="H718" s="90">
        <v>2100205</v>
      </c>
      <c r="I718" s="90" t="s">
        <v>365</v>
      </c>
      <c r="J718" s="143">
        <v>32593</v>
      </c>
      <c r="K718" s="143"/>
      <c r="L718" s="87">
        <v>8085</v>
      </c>
      <c r="M718" s="92" t="str">
        <f t="shared" si="24"/>
        <v/>
      </c>
      <c r="N718" s="104">
        <v>5922</v>
      </c>
      <c r="O718" s="92">
        <f t="shared" si="25"/>
        <v>0.36524822695035453</v>
      </c>
      <c r="T718" s="97"/>
    </row>
    <row r="719" spans="1:21" ht="18" customHeight="1">
      <c r="A719" s="103"/>
      <c r="B719" s="104"/>
      <c r="C719" s="104"/>
      <c r="D719" s="104"/>
      <c r="E719" s="92"/>
      <c r="F719" s="104"/>
      <c r="G719" s="92"/>
      <c r="H719" s="90">
        <v>2100206</v>
      </c>
      <c r="I719" s="90" t="s">
        <v>366</v>
      </c>
      <c r="J719" s="143">
        <v>0</v>
      </c>
      <c r="K719" s="143"/>
      <c r="L719" s="87">
        <v>75</v>
      </c>
      <c r="M719" s="92" t="str">
        <f t="shared" si="24"/>
        <v/>
      </c>
      <c r="N719" s="104">
        <v>922</v>
      </c>
      <c r="O719" s="92">
        <f t="shared" si="25"/>
        <v>-0.91865509761388287</v>
      </c>
      <c r="T719" s="97"/>
    </row>
    <row r="720" spans="1:21" ht="18" customHeight="1">
      <c r="A720" s="103"/>
      <c r="B720" s="104"/>
      <c r="C720" s="104"/>
      <c r="D720" s="104"/>
      <c r="E720" s="92"/>
      <c r="F720" s="104"/>
      <c r="G720" s="92"/>
      <c r="H720" s="90">
        <v>2100207</v>
      </c>
      <c r="I720" s="90" t="s">
        <v>367</v>
      </c>
      <c r="J720" s="143">
        <v>16437</v>
      </c>
      <c r="K720" s="143"/>
      <c r="L720" s="87">
        <v>17937</v>
      </c>
      <c r="M720" s="92" t="str">
        <f t="shared" si="24"/>
        <v/>
      </c>
      <c r="N720" s="104">
        <v>11097</v>
      </c>
      <c r="O720" s="92">
        <f t="shared" si="25"/>
        <v>0.61638280616382812</v>
      </c>
      <c r="T720" s="97"/>
    </row>
    <row r="721" spans="1:20" ht="18" customHeight="1">
      <c r="A721" s="103"/>
      <c r="B721" s="104"/>
      <c r="C721" s="104"/>
      <c r="D721" s="104"/>
      <c r="E721" s="92"/>
      <c r="F721" s="104"/>
      <c r="G721" s="92"/>
      <c r="H721" s="90">
        <v>2100208</v>
      </c>
      <c r="I721" s="90" t="s">
        <v>368</v>
      </c>
      <c r="J721" s="143">
        <v>8217</v>
      </c>
      <c r="K721" s="143"/>
      <c r="L721" s="87">
        <v>8860</v>
      </c>
      <c r="M721" s="92" t="str">
        <f t="shared" si="24"/>
        <v/>
      </c>
      <c r="N721" s="104">
        <v>7804</v>
      </c>
      <c r="O721" s="92">
        <f t="shared" si="25"/>
        <v>0.13531522296258336</v>
      </c>
      <c r="T721" s="97"/>
    </row>
    <row r="722" spans="1:20" ht="18" customHeight="1">
      <c r="A722" s="103"/>
      <c r="B722" s="104"/>
      <c r="C722" s="104"/>
      <c r="D722" s="104"/>
      <c r="E722" s="92"/>
      <c r="F722" s="104"/>
      <c r="G722" s="92"/>
      <c r="H722" s="90">
        <v>2100209</v>
      </c>
      <c r="I722" s="90" t="s">
        <v>369</v>
      </c>
      <c r="J722" s="143">
        <v>0</v>
      </c>
      <c r="K722" s="143"/>
      <c r="L722" s="87">
        <v>0</v>
      </c>
      <c r="M722" s="92" t="str">
        <f t="shared" si="24"/>
        <v/>
      </c>
      <c r="N722" s="104">
        <v>0</v>
      </c>
      <c r="O722" s="92" t="str">
        <f t="shared" si="25"/>
        <v/>
      </c>
      <c r="T722" s="97"/>
    </row>
    <row r="723" spans="1:20" ht="18" customHeight="1">
      <c r="A723" s="103"/>
      <c r="B723" s="104"/>
      <c r="C723" s="104"/>
      <c r="D723" s="104"/>
      <c r="E723" s="92"/>
      <c r="F723" s="104"/>
      <c r="G723" s="92"/>
      <c r="H723" s="90">
        <v>2100210</v>
      </c>
      <c r="I723" s="90" t="s">
        <v>370</v>
      </c>
      <c r="J723" s="143">
        <v>0</v>
      </c>
      <c r="K723" s="143"/>
      <c r="L723" s="87">
        <v>0</v>
      </c>
      <c r="M723" s="92" t="str">
        <f t="shared" si="24"/>
        <v/>
      </c>
      <c r="N723" s="104">
        <v>0</v>
      </c>
      <c r="O723" s="92" t="str">
        <f t="shared" si="25"/>
        <v/>
      </c>
      <c r="T723" s="97"/>
    </row>
    <row r="724" spans="1:20" ht="18" customHeight="1">
      <c r="A724" s="103"/>
      <c r="B724" s="104"/>
      <c r="C724" s="104"/>
      <c r="D724" s="104"/>
      <c r="E724" s="92"/>
      <c r="F724" s="104"/>
      <c r="G724" s="92"/>
      <c r="H724" s="90">
        <v>2100211</v>
      </c>
      <c r="I724" s="90" t="s">
        <v>371</v>
      </c>
      <c r="J724" s="143">
        <v>0</v>
      </c>
      <c r="K724" s="143"/>
      <c r="L724" s="87">
        <v>0</v>
      </c>
      <c r="M724" s="92" t="str">
        <f t="shared" si="24"/>
        <v/>
      </c>
      <c r="N724" s="104">
        <v>0</v>
      </c>
      <c r="O724" s="92" t="str">
        <f t="shared" si="25"/>
        <v/>
      </c>
      <c r="T724" s="97"/>
    </row>
    <row r="725" spans="1:20" ht="18" customHeight="1">
      <c r="A725" s="103"/>
      <c r="B725" s="104"/>
      <c r="C725" s="104"/>
      <c r="D725" s="104"/>
      <c r="E725" s="92"/>
      <c r="F725" s="104"/>
      <c r="G725" s="92"/>
      <c r="H725" s="90">
        <v>2100299</v>
      </c>
      <c r="I725" s="90" t="s">
        <v>372</v>
      </c>
      <c r="J725" s="143">
        <v>16436</v>
      </c>
      <c r="K725" s="143"/>
      <c r="L725" s="87">
        <v>18136</v>
      </c>
      <c r="M725" s="92" t="str">
        <f t="shared" si="24"/>
        <v/>
      </c>
      <c r="N725" s="104">
        <v>18317</v>
      </c>
      <c r="O725" s="92">
        <f t="shared" si="25"/>
        <v>-9.8815308183654027E-3</v>
      </c>
      <c r="T725" s="97"/>
    </row>
    <row r="726" spans="1:20" ht="18" customHeight="1">
      <c r="A726" s="103"/>
      <c r="B726" s="104"/>
      <c r="C726" s="104"/>
      <c r="D726" s="104"/>
      <c r="E726" s="92"/>
      <c r="F726" s="104"/>
      <c r="G726" s="92"/>
      <c r="H726" s="90">
        <v>21003</v>
      </c>
      <c r="I726" s="80" t="s">
        <v>373</v>
      </c>
      <c r="J726" s="143">
        <v>3467</v>
      </c>
      <c r="K726" s="647">
        <v>601</v>
      </c>
      <c r="L726" s="87">
        <v>601</v>
      </c>
      <c r="M726" s="92">
        <f t="shared" si="24"/>
        <v>1</v>
      </c>
      <c r="N726" s="104">
        <v>282</v>
      </c>
      <c r="O726" s="92">
        <f t="shared" si="25"/>
        <v>1.1312056737588652</v>
      </c>
      <c r="T726" s="97"/>
    </row>
    <row r="727" spans="1:20" ht="18" customHeight="1">
      <c r="A727" s="103"/>
      <c r="B727" s="104"/>
      <c r="C727" s="104"/>
      <c r="D727" s="104"/>
      <c r="E727" s="92"/>
      <c r="F727" s="104"/>
      <c r="G727" s="92"/>
      <c r="H727" s="90">
        <v>2100301</v>
      </c>
      <c r="I727" s="90" t="s">
        <v>374</v>
      </c>
      <c r="J727" s="143">
        <v>282</v>
      </c>
      <c r="K727" s="143"/>
      <c r="L727" s="87">
        <v>476</v>
      </c>
      <c r="M727" s="92" t="str">
        <f t="shared" si="24"/>
        <v/>
      </c>
      <c r="N727" s="104">
        <v>282</v>
      </c>
      <c r="O727" s="92">
        <f t="shared" si="25"/>
        <v>0.68794326241134751</v>
      </c>
      <c r="T727" s="97"/>
    </row>
    <row r="728" spans="1:20" ht="18" customHeight="1">
      <c r="A728" s="103"/>
      <c r="B728" s="104"/>
      <c r="C728" s="104"/>
      <c r="D728" s="104"/>
      <c r="E728" s="92"/>
      <c r="F728" s="104"/>
      <c r="G728" s="92"/>
      <c r="H728" s="90">
        <v>2100302</v>
      </c>
      <c r="I728" s="90" t="s">
        <v>375</v>
      </c>
      <c r="J728" s="143">
        <v>0</v>
      </c>
      <c r="K728" s="143"/>
      <c r="L728" s="87">
        <v>0</v>
      </c>
      <c r="M728" s="92" t="str">
        <f t="shared" si="24"/>
        <v/>
      </c>
      <c r="N728" s="104">
        <v>0</v>
      </c>
      <c r="O728" s="92" t="str">
        <f t="shared" si="25"/>
        <v/>
      </c>
      <c r="T728" s="97"/>
    </row>
    <row r="729" spans="1:20" ht="18" customHeight="1">
      <c r="A729" s="103"/>
      <c r="B729" s="104"/>
      <c r="C729" s="104"/>
      <c r="D729" s="104"/>
      <c r="E729" s="92"/>
      <c r="F729" s="104"/>
      <c r="G729" s="92"/>
      <c r="H729" s="90">
        <v>2100399</v>
      </c>
      <c r="I729" s="90" t="s">
        <v>376</v>
      </c>
      <c r="J729" s="143">
        <v>3185</v>
      </c>
      <c r="K729" s="143"/>
      <c r="L729" s="87">
        <v>125</v>
      </c>
      <c r="M729" s="92" t="str">
        <f t="shared" si="24"/>
        <v/>
      </c>
      <c r="N729" s="104">
        <v>0</v>
      </c>
      <c r="O729" s="92" t="str">
        <f t="shared" si="25"/>
        <v/>
      </c>
      <c r="T729" s="97"/>
    </row>
    <row r="730" spans="1:20" ht="18" customHeight="1">
      <c r="A730" s="103"/>
      <c r="B730" s="104"/>
      <c r="C730" s="104"/>
      <c r="D730" s="104"/>
      <c r="E730" s="92"/>
      <c r="F730" s="104"/>
      <c r="G730" s="92"/>
      <c r="H730" s="90">
        <v>21004</v>
      </c>
      <c r="I730" s="80" t="s">
        <v>377</v>
      </c>
      <c r="J730" s="143">
        <v>70370</v>
      </c>
      <c r="K730" s="647">
        <v>60253</v>
      </c>
      <c r="L730" s="87">
        <v>58498</v>
      </c>
      <c r="M730" s="92">
        <f t="shared" si="24"/>
        <v>0.97087281961064176</v>
      </c>
      <c r="N730" s="104">
        <v>52310</v>
      </c>
      <c r="O730" s="92">
        <f t="shared" si="25"/>
        <v>0.11829478111259806</v>
      </c>
      <c r="T730" s="97"/>
    </row>
    <row r="731" spans="1:20" ht="18" customHeight="1">
      <c r="A731" s="103"/>
      <c r="B731" s="104"/>
      <c r="C731" s="104"/>
      <c r="D731" s="104"/>
      <c r="E731" s="92"/>
      <c r="F731" s="104"/>
      <c r="G731" s="92"/>
      <c r="H731" s="90">
        <v>2100401</v>
      </c>
      <c r="I731" s="90" t="s">
        <v>378</v>
      </c>
      <c r="J731" s="143">
        <v>10596</v>
      </c>
      <c r="K731" s="143"/>
      <c r="L731" s="87">
        <v>11539</v>
      </c>
      <c r="M731" s="92" t="str">
        <f t="shared" si="24"/>
        <v/>
      </c>
      <c r="N731" s="104">
        <v>9745</v>
      </c>
      <c r="O731" s="92">
        <f t="shared" si="25"/>
        <v>0.18409440738840432</v>
      </c>
      <c r="T731" s="97"/>
    </row>
    <row r="732" spans="1:20" ht="18" customHeight="1">
      <c r="A732" s="103"/>
      <c r="B732" s="104"/>
      <c r="C732" s="104"/>
      <c r="D732" s="104"/>
      <c r="E732" s="92"/>
      <c r="F732" s="104"/>
      <c r="G732" s="92"/>
      <c r="H732" s="90">
        <v>2100402</v>
      </c>
      <c r="I732" s="90" t="s">
        <v>379</v>
      </c>
      <c r="J732" s="143">
        <v>3115</v>
      </c>
      <c r="K732" s="143"/>
      <c r="L732" s="87">
        <v>3694</v>
      </c>
      <c r="M732" s="92" t="str">
        <f t="shared" si="24"/>
        <v/>
      </c>
      <c r="N732" s="104">
        <v>3214</v>
      </c>
      <c r="O732" s="92">
        <f t="shared" si="25"/>
        <v>0.14934660858742999</v>
      </c>
      <c r="T732" s="97"/>
    </row>
    <row r="733" spans="1:20" ht="18" customHeight="1">
      <c r="A733" s="103"/>
      <c r="B733" s="104"/>
      <c r="C733" s="104"/>
      <c r="D733" s="104"/>
      <c r="E733" s="92"/>
      <c r="F733" s="104"/>
      <c r="G733" s="92"/>
      <c r="H733" s="90">
        <v>2100403</v>
      </c>
      <c r="I733" s="90" t="s">
        <v>380</v>
      </c>
      <c r="J733" s="143">
        <v>11696</v>
      </c>
      <c r="K733" s="143"/>
      <c r="L733" s="87">
        <v>11611</v>
      </c>
      <c r="M733" s="92" t="str">
        <f t="shared" si="24"/>
        <v/>
      </c>
      <c r="N733" s="104">
        <v>11282</v>
      </c>
      <c r="O733" s="92">
        <f t="shared" si="25"/>
        <v>2.9161496188619074E-2</v>
      </c>
      <c r="T733" s="97"/>
    </row>
    <row r="734" spans="1:20" ht="18" customHeight="1">
      <c r="A734" s="103"/>
      <c r="B734" s="104"/>
      <c r="C734" s="104"/>
      <c r="D734" s="104"/>
      <c r="E734" s="92"/>
      <c r="F734" s="104"/>
      <c r="G734" s="92"/>
      <c r="H734" s="90">
        <v>2100404</v>
      </c>
      <c r="I734" s="90" t="s">
        <v>381</v>
      </c>
      <c r="J734" s="143">
        <v>598</v>
      </c>
      <c r="K734" s="143"/>
      <c r="L734" s="87">
        <v>611</v>
      </c>
      <c r="M734" s="92" t="str">
        <f t="shared" si="24"/>
        <v/>
      </c>
      <c r="N734" s="104">
        <v>548</v>
      </c>
      <c r="O734" s="92">
        <f t="shared" si="25"/>
        <v>0.11496350364963503</v>
      </c>
      <c r="T734" s="97"/>
    </row>
    <row r="735" spans="1:20" ht="18" customHeight="1">
      <c r="A735" s="103"/>
      <c r="B735" s="104"/>
      <c r="C735" s="104"/>
      <c r="D735" s="104"/>
      <c r="E735" s="92"/>
      <c r="F735" s="104"/>
      <c r="G735" s="92"/>
      <c r="H735" s="90">
        <v>2100405</v>
      </c>
      <c r="I735" s="90" t="s">
        <v>382</v>
      </c>
      <c r="J735" s="143">
        <v>8998</v>
      </c>
      <c r="K735" s="143"/>
      <c r="L735" s="87">
        <v>6163</v>
      </c>
      <c r="M735" s="92" t="str">
        <f t="shared" si="24"/>
        <v/>
      </c>
      <c r="N735" s="104">
        <v>8342</v>
      </c>
      <c r="O735" s="92">
        <f t="shared" si="25"/>
        <v>-0.26120834332294418</v>
      </c>
      <c r="T735" s="97"/>
    </row>
    <row r="736" spans="1:20" ht="18" customHeight="1">
      <c r="A736" s="103"/>
      <c r="B736" s="104"/>
      <c r="C736" s="104"/>
      <c r="D736" s="104"/>
      <c r="E736" s="92"/>
      <c r="F736" s="104"/>
      <c r="G736" s="92"/>
      <c r="H736" s="90">
        <v>2100406</v>
      </c>
      <c r="I736" s="90" t="s">
        <v>383</v>
      </c>
      <c r="J736" s="143">
        <v>9795</v>
      </c>
      <c r="K736" s="143"/>
      <c r="L736" s="87">
        <v>9422</v>
      </c>
      <c r="M736" s="92" t="str">
        <f t="shared" si="24"/>
        <v/>
      </c>
      <c r="N736" s="104">
        <v>1454</v>
      </c>
      <c r="O736" s="92">
        <f t="shared" si="25"/>
        <v>5.4800550206327374</v>
      </c>
      <c r="T736" s="97"/>
    </row>
    <row r="737" spans="1:20" ht="18" customHeight="1">
      <c r="A737" s="103"/>
      <c r="B737" s="104"/>
      <c r="C737" s="104"/>
      <c r="D737" s="104"/>
      <c r="E737" s="92"/>
      <c r="F737" s="104"/>
      <c r="G737" s="92"/>
      <c r="H737" s="90">
        <v>2100407</v>
      </c>
      <c r="I737" s="90" t="s">
        <v>384</v>
      </c>
      <c r="J737" s="143">
        <v>0</v>
      </c>
      <c r="K737" s="143"/>
      <c r="L737" s="87">
        <v>8</v>
      </c>
      <c r="M737" s="92" t="str">
        <f t="shared" si="24"/>
        <v/>
      </c>
      <c r="N737" s="104">
        <v>0</v>
      </c>
      <c r="O737" s="92" t="str">
        <f t="shared" si="25"/>
        <v/>
      </c>
      <c r="T737" s="97"/>
    </row>
    <row r="738" spans="1:20" ht="18" customHeight="1">
      <c r="A738" s="103"/>
      <c r="B738" s="104"/>
      <c r="C738" s="104"/>
      <c r="D738" s="104"/>
      <c r="E738" s="92"/>
      <c r="F738" s="104"/>
      <c r="G738" s="92"/>
      <c r="H738" s="90">
        <v>2100408</v>
      </c>
      <c r="I738" s="90" t="s">
        <v>385</v>
      </c>
      <c r="J738" s="143">
        <v>9900</v>
      </c>
      <c r="K738" s="143"/>
      <c r="L738" s="87">
        <v>2228</v>
      </c>
      <c r="M738" s="92" t="str">
        <f t="shared" si="24"/>
        <v/>
      </c>
      <c r="N738" s="104">
        <v>4146</v>
      </c>
      <c r="O738" s="92">
        <f t="shared" si="25"/>
        <v>-0.46261456825856251</v>
      </c>
      <c r="T738" s="97"/>
    </row>
    <row r="739" spans="1:20" ht="18" customHeight="1">
      <c r="A739" s="103"/>
      <c r="B739" s="104"/>
      <c r="C739" s="104"/>
      <c r="D739" s="104"/>
      <c r="E739" s="92"/>
      <c r="F739" s="104"/>
      <c r="G739" s="92"/>
      <c r="H739" s="90">
        <v>2100409</v>
      </c>
      <c r="I739" s="90" t="s">
        <v>386</v>
      </c>
      <c r="J739" s="143">
        <v>6015</v>
      </c>
      <c r="K739" s="143"/>
      <c r="L739" s="87">
        <v>4785</v>
      </c>
      <c r="M739" s="92" t="str">
        <f t="shared" si="24"/>
        <v/>
      </c>
      <c r="N739" s="104">
        <v>5608</v>
      </c>
      <c r="O739" s="92">
        <f t="shared" si="25"/>
        <v>-0.14675463623395146</v>
      </c>
      <c r="T739" s="97"/>
    </row>
    <row r="740" spans="1:20" ht="18" customHeight="1">
      <c r="A740" s="103"/>
      <c r="B740" s="104"/>
      <c r="C740" s="104"/>
      <c r="D740" s="104"/>
      <c r="E740" s="92"/>
      <c r="F740" s="104"/>
      <c r="G740" s="92"/>
      <c r="H740" s="90">
        <v>2100410</v>
      </c>
      <c r="I740" s="90" t="s">
        <v>387</v>
      </c>
      <c r="J740" s="143">
        <v>650</v>
      </c>
      <c r="K740" s="143"/>
      <c r="L740" s="87">
        <v>625</v>
      </c>
      <c r="M740" s="92" t="str">
        <f t="shared" si="24"/>
        <v/>
      </c>
      <c r="N740" s="104">
        <v>446</v>
      </c>
      <c r="O740" s="92">
        <f t="shared" si="25"/>
        <v>0.40134529147982057</v>
      </c>
      <c r="T740" s="97"/>
    </row>
    <row r="741" spans="1:20" ht="18" customHeight="1">
      <c r="A741" s="103"/>
      <c r="B741" s="104"/>
      <c r="C741" s="104"/>
      <c r="D741" s="104"/>
      <c r="E741" s="92"/>
      <c r="F741" s="104"/>
      <c r="G741" s="92"/>
      <c r="H741" s="90">
        <v>2100499</v>
      </c>
      <c r="I741" s="90" t="s">
        <v>388</v>
      </c>
      <c r="J741" s="143">
        <v>9007</v>
      </c>
      <c r="K741" s="143"/>
      <c r="L741" s="87">
        <v>7812</v>
      </c>
      <c r="M741" s="92" t="str">
        <f t="shared" si="24"/>
        <v/>
      </c>
      <c r="N741" s="104">
        <v>7525</v>
      </c>
      <c r="O741" s="92">
        <f t="shared" si="25"/>
        <v>3.8139534883721016E-2</v>
      </c>
      <c r="T741" s="97"/>
    </row>
    <row r="742" spans="1:20" ht="18" customHeight="1">
      <c r="A742" s="103"/>
      <c r="B742" s="104"/>
      <c r="C742" s="104"/>
      <c r="D742" s="104"/>
      <c r="E742" s="92"/>
      <c r="F742" s="104"/>
      <c r="G742" s="92"/>
      <c r="H742" s="90">
        <v>21005</v>
      </c>
      <c r="I742" s="80" t="s">
        <v>389</v>
      </c>
      <c r="J742" s="143">
        <v>87871</v>
      </c>
      <c r="K742" s="647">
        <v>84018</v>
      </c>
      <c r="L742" s="87">
        <v>83772</v>
      </c>
      <c r="M742" s="92">
        <f t="shared" si="24"/>
        <v>0.99707205598800253</v>
      </c>
      <c r="N742" s="104">
        <v>58595</v>
      </c>
      <c r="O742" s="92">
        <f t="shared" si="25"/>
        <v>0.42967830019626252</v>
      </c>
      <c r="T742" s="97"/>
    </row>
    <row r="743" spans="1:20" ht="18" customHeight="1">
      <c r="A743" s="103"/>
      <c r="B743" s="104"/>
      <c r="C743" s="104"/>
      <c r="D743" s="104"/>
      <c r="E743" s="92"/>
      <c r="F743" s="104"/>
      <c r="G743" s="92"/>
      <c r="H743" s="90">
        <v>2100501</v>
      </c>
      <c r="I743" s="90" t="s">
        <v>390</v>
      </c>
      <c r="J743" s="143">
        <v>10865</v>
      </c>
      <c r="K743" s="143"/>
      <c r="L743" s="87">
        <v>12694</v>
      </c>
      <c r="M743" s="92" t="str">
        <f t="shared" si="24"/>
        <v/>
      </c>
      <c r="N743" s="104">
        <v>10294</v>
      </c>
      <c r="O743" s="92">
        <f t="shared" si="25"/>
        <v>0.23314552166310465</v>
      </c>
      <c r="T743" s="97"/>
    </row>
    <row r="744" spans="1:20" ht="18" customHeight="1">
      <c r="A744" s="103"/>
      <c r="B744" s="104"/>
      <c r="C744" s="104"/>
      <c r="D744" s="104"/>
      <c r="E744" s="92"/>
      <c r="F744" s="104"/>
      <c r="G744" s="92"/>
      <c r="H744" s="90">
        <v>2100502</v>
      </c>
      <c r="I744" s="90" t="s">
        <v>391</v>
      </c>
      <c r="J744" s="143">
        <v>6721</v>
      </c>
      <c r="K744" s="143"/>
      <c r="L744" s="87">
        <v>6314</v>
      </c>
      <c r="M744" s="92" t="str">
        <f t="shared" si="24"/>
        <v/>
      </c>
      <c r="N744" s="104">
        <v>6396</v>
      </c>
      <c r="O744" s="92">
        <f t="shared" si="25"/>
        <v>-1.2820512820512775E-2</v>
      </c>
      <c r="T744" s="97"/>
    </row>
    <row r="745" spans="1:20" ht="18" customHeight="1">
      <c r="A745" s="103"/>
      <c r="B745" s="104"/>
      <c r="C745" s="104"/>
      <c r="D745" s="104"/>
      <c r="E745" s="92"/>
      <c r="F745" s="104"/>
      <c r="G745" s="92"/>
      <c r="H745" s="90">
        <v>2100503</v>
      </c>
      <c r="I745" s="90" t="s">
        <v>392</v>
      </c>
      <c r="J745" s="143">
        <v>1090</v>
      </c>
      <c r="K745" s="143"/>
      <c r="L745" s="87">
        <v>1000</v>
      </c>
      <c r="M745" s="92" t="str">
        <f t="shared" si="24"/>
        <v/>
      </c>
      <c r="N745" s="104">
        <v>1000</v>
      </c>
      <c r="O745" s="92">
        <f t="shared" si="25"/>
        <v>0</v>
      </c>
      <c r="T745" s="97"/>
    </row>
    <row r="746" spans="1:20" ht="18" customHeight="1">
      <c r="A746" s="103"/>
      <c r="B746" s="104"/>
      <c r="C746" s="104"/>
      <c r="D746" s="104"/>
      <c r="E746" s="92"/>
      <c r="F746" s="104"/>
      <c r="G746" s="92"/>
      <c r="H746" s="90">
        <v>2100504</v>
      </c>
      <c r="I746" s="90" t="s">
        <v>393</v>
      </c>
      <c r="J746" s="143">
        <v>268</v>
      </c>
      <c r="K746" s="143"/>
      <c r="L746" s="87">
        <v>0</v>
      </c>
      <c r="M746" s="92" t="str">
        <f t="shared" si="24"/>
        <v/>
      </c>
      <c r="N746" s="104">
        <v>0</v>
      </c>
      <c r="O746" s="92" t="str">
        <f t="shared" si="25"/>
        <v/>
      </c>
      <c r="T746" s="97"/>
    </row>
    <row r="747" spans="1:20" ht="18" customHeight="1">
      <c r="A747" s="103"/>
      <c r="B747" s="104"/>
      <c r="C747" s="104"/>
      <c r="D747" s="104"/>
      <c r="E747" s="92"/>
      <c r="F747" s="104"/>
      <c r="G747" s="92"/>
      <c r="H747" s="90">
        <v>2100506</v>
      </c>
      <c r="I747" s="90" t="s">
        <v>394</v>
      </c>
      <c r="J747" s="143">
        <v>0</v>
      </c>
      <c r="K747" s="143"/>
      <c r="L747" s="87">
        <v>0</v>
      </c>
      <c r="M747" s="92" t="str">
        <f t="shared" si="24"/>
        <v/>
      </c>
      <c r="N747" s="104">
        <v>0</v>
      </c>
      <c r="O747" s="92" t="str">
        <f t="shared" si="25"/>
        <v/>
      </c>
      <c r="T747" s="97"/>
    </row>
    <row r="748" spans="1:20" ht="18" customHeight="1">
      <c r="A748" s="103"/>
      <c r="B748" s="104"/>
      <c r="C748" s="104"/>
      <c r="D748" s="104"/>
      <c r="E748" s="92"/>
      <c r="F748" s="104"/>
      <c r="G748" s="92"/>
      <c r="H748" s="90">
        <v>2100508</v>
      </c>
      <c r="I748" s="90" t="s">
        <v>395</v>
      </c>
      <c r="J748" s="143">
        <v>7159</v>
      </c>
      <c r="K748" s="143"/>
      <c r="L748" s="87">
        <v>60817</v>
      </c>
      <c r="M748" s="92" t="str">
        <f t="shared" si="24"/>
        <v/>
      </c>
      <c r="N748" s="104">
        <v>38699</v>
      </c>
      <c r="O748" s="92">
        <f t="shared" si="25"/>
        <v>0.5715393162614022</v>
      </c>
      <c r="T748" s="97"/>
    </row>
    <row r="749" spans="1:20" ht="18" customHeight="1">
      <c r="A749" s="103"/>
      <c r="B749" s="104"/>
      <c r="C749" s="104"/>
      <c r="D749" s="104"/>
      <c r="E749" s="92"/>
      <c r="F749" s="104"/>
      <c r="G749" s="92"/>
      <c r="H749" s="90">
        <v>2100509</v>
      </c>
      <c r="I749" s="90" t="s">
        <v>396</v>
      </c>
      <c r="J749" s="143">
        <v>0</v>
      </c>
      <c r="K749" s="143"/>
      <c r="L749" s="87">
        <v>0</v>
      </c>
      <c r="M749" s="92" t="str">
        <f t="shared" si="24"/>
        <v/>
      </c>
      <c r="N749" s="104">
        <v>0</v>
      </c>
      <c r="O749" s="92" t="str">
        <f t="shared" si="25"/>
        <v/>
      </c>
      <c r="T749" s="97"/>
    </row>
    <row r="750" spans="1:20" ht="18" customHeight="1">
      <c r="A750" s="103"/>
      <c r="B750" s="104"/>
      <c r="C750" s="104"/>
      <c r="D750" s="104"/>
      <c r="E750" s="92"/>
      <c r="F750" s="104"/>
      <c r="G750" s="92"/>
      <c r="H750" s="90">
        <v>2100510</v>
      </c>
      <c r="I750" s="90" t="s">
        <v>397</v>
      </c>
      <c r="J750" s="143">
        <v>55864</v>
      </c>
      <c r="K750" s="143"/>
      <c r="L750" s="87">
        <v>604</v>
      </c>
      <c r="M750" s="92" t="str">
        <f t="shared" si="24"/>
        <v/>
      </c>
      <c r="N750" s="104">
        <v>0</v>
      </c>
      <c r="O750" s="92" t="str">
        <f t="shared" si="25"/>
        <v/>
      </c>
      <c r="T750" s="97"/>
    </row>
    <row r="751" spans="1:20" ht="18" customHeight="1">
      <c r="A751" s="103"/>
      <c r="B751" s="104"/>
      <c r="C751" s="104"/>
      <c r="D751" s="104"/>
      <c r="E751" s="92"/>
      <c r="F751" s="104"/>
      <c r="G751" s="92"/>
      <c r="H751" s="90">
        <v>2100599</v>
      </c>
      <c r="I751" s="90" t="s">
        <v>398</v>
      </c>
      <c r="J751" s="143">
        <v>5904</v>
      </c>
      <c r="K751" s="143"/>
      <c r="L751" s="87">
        <v>2343</v>
      </c>
      <c r="M751" s="92" t="str">
        <f t="shared" si="24"/>
        <v/>
      </c>
      <c r="N751" s="104">
        <v>2206</v>
      </c>
      <c r="O751" s="92">
        <f t="shared" si="25"/>
        <v>6.210335448776072E-2</v>
      </c>
      <c r="T751" s="97"/>
    </row>
    <row r="752" spans="1:20" ht="18" customHeight="1">
      <c r="A752" s="103"/>
      <c r="B752" s="104"/>
      <c r="C752" s="104"/>
      <c r="D752" s="104"/>
      <c r="E752" s="92"/>
      <c r="F752" s="104"/>
      <c r="G752" s="92"/>
      <c r="H752" s="90">
        <v>21006</v>
      </c>
      <c r="I752" s="80" t="s">
        <v>399</v>
      </c>
      <c r="J752" s="108">
        <v>984</v>
      </c>
      <c r="K752" s="647">
        <v>1298</v>
      </c>
      <c r="L752" s="87">
        <v>427</v>
      </c>
      <c r="M752" s="92">
        <f t="shared" si="24"/>
        <v>0.32896764252696459</v>
      </c>
      <c r="N752" s="104">
        <v>1008</v>
      </c>
      <c r="O752" s="92">
        <f t="shared" si="25"/>
        <v>-0.57638888888888884</v>
      </c>
      <c r="T752" s="97"/>
    </row>
    <row r="753" spans="1:20" ht="18" customHeight="1">
      <c r="A753" s="103"/>
      <c r="B753" s="104"/>
      <c r="C753" s="104"/>
      <c r="D753" s="104"/>
      <c r="E753" s="92"/>
      <c r="F753" s="104"/>
      <c r="G753" s="92"/>
      <c r="H753" s="90">
        <v>2100601</v>
      </c>
      <c r="I753" s="90" t="s">
        <v>400</v>
      </c>
      <c r="J753" s="143">
        <v>984</v>
      </c>
      <c r="K753" s="143"/>
      <c r="L753" s="87">
        <v>427</v>
      </c>
      <c r="M753" s="92" t="str">
        <f t="shared" si="24"/>
        <v/>
      </c>
      <c r="N753" s="104">
        <v>1008</v>
      </c>
      <c r="O753" s="92">
        <f t="shared" si="25"/>
        <v>-0.57638888888888884</v>
      </c>
      <c r="T753" s="97"/>
    </row>
    <row r="754" spans="1:20" ht="18" customHeight="1">
      <c r="A754" s="103"/>
      <c r="B754" s="104"/>
      <c r="C754" s="104"/>
      <c r="D754" s="104"/>
      <c r="E754" s="92"/>
      <c r="F754" s="104"/>
      <c r="G754" s="92"/>
      <c r="H754" s="90">
        <v>2100699</v>
      </c>
      <c r="I754" s="90" t="s">
        <v>401</v>
      </c>
      <c r="J754" s="143">
        <v>0</v>
      </c>
      <c r="K754" s="143"/>
      <c r="L754" s="87">
        <v>0</v>
      </c>
      <c r="M754" s="92" t="str">
        <f t="shared" si="24"/>
        <v/>
      </c>
      <c r="N754" s="104">
        <v>0</v>
      </c>
      <c r="O754" s="92" t="str">
        <f t="shared" si="25"/>
        <v/>
      </c>
      <c r="T754" s="97"/>
    </row>
    <row r="755" spans="1:20" ht="18" customHeight="1">
      <c r="A755" s="103"/>
      <c r="B755" s="104"/>
      <c r="C755" s="104"/>
      <c r="D755" s="104"/>
      <c r="E755" s="92"/>
      <c r="F755" s="104"/>
      <c r="G755" s="92"/>
      <c r="H755" s="90">
        <v>21007</v>
      </c>
      <c r="I755" s="657" t="s">
        <v>1272</v>
      </c>
      <c r="J755" s="143">
        <v>5327</v>
      </c>
      <c r="K755" s="647">
        <v>5604</v>
      </c>
      <c r="L755" s="87">
        <v>5591</v>
      </c>
      <c r="M755" s="92">
        <f t="shared" si="24"/>
        <v>0.99768022840827975</v>
      </c>
      <c r="N755" s="104">
        <v>6145</v>
      </c>
      <c r="O755" s="92">
        <f t="shared" si="25"/>
        <v>-9.0154597233523148E-2</v>
      </c>
      <c r="T755" s="97"/>
    </row>
    <row r="756" spans="1:20" ht="18" customHeight="1">
      <c r="A756" s="103"/>
      <c r="B756" s="104"/>
      <c r="C756" s="104"/>
      <c r="D756" s="104"/>
      <c r="E756" s="92"/>
      <c r="F756" s="104"/>
      <c r="G756" s="92"/>
      <c r="H756" s="90">
        <v>2100701</v>
      </c>
      <c r="I756" s="113" t="s">
        <v>1273</v>
      </c>
      <c r="J756" s="143">
        <v>88</v>
      </c>
      <c r="K756" s="143"/>
      <c r="L756" s="87">
        <v>377</v>
      </c>
      <c r="M756" s="92" t="str">
        <f t="shared" si="24"/>
        <v/>
      </c>
      <c r="N756" s="104">
        <v>0</v>
      </c>
      <c r="O756" s="92" t="str">
        <f t="shared" si="25"/>
        <v/>
      </c>
      <c r="T756" s="97"/>
    </row>
    <row r="757" spans="1:20" ht="18" customHeight="1">
      <c r="A757" s="103"/>
      <c r="B757" s="104"/>
      <c r="C757" s="104"/>
      <c r="D757" s="104"/>
      <c r="E757" s="92"/>
      <c r="F757" s="104"/>
      <c r="G757" s="92"/>
      <c r="H757" s="90">
        <v>2100702</v>
      </c>
      <c r="I757" s="90" t="s">
        <v>1111</v>
      </c>
      <c r="J757" s="143"/>
      <c r="K757" s="143"/>
      <c r="L757" s="104"/>
      <c r="M757" s="92" t="str">
        <f t="shared" si="24"/>
        <v/>
      </c>
      <c r="N757" s="104">
        <v>730</v>
      </c>
      <c r="O757" s="92">
        <f t="shared" si="25"/>
        <v>-1</v>
      </c>
      <c r="T757" s="97"/>
    </row>
    <row r="758" spans="1:20" ht="18" customHeight="1">
      <c r="A758" s="103"/>
      <c r="B758" s="104"/>
      <c r="C758" s="104"/>
      <c r="D758" s="104"/>
      <c r="E758" s="92"/>
      <c r="F758" s="104"/>
      <c r="G758" s="92"/>
      <c r="H758" s="90">
        <v>2100708</v>
      </c>
      <c r="I758" s="90" t="s">
        <v>403</v>
      </c>
      <c r="J758" s="143"/>
      <c r="K758" s="143"/>
      <c r="L758" s="104"/>
      <c r="M758" s="92" t="str">
        <f t="shared" si="24"/>
        <v/>
      </c>
      <c r="N758" s="104">
        <v>194</v>
      </c>
      <c r="O758" s="92">
        <f t="shared" si="25"/>
        <v>-1</v>
      </c>
      <c r="T758" s="97"/>
    </row>
    <row r="759" spans="1:20" ht="18" customHeight="1">
      <c r="A759" s="103"/>
      <c r="B759" s="104"/>
      <c r="C759" s="104"/>
      <c r="D759" s="104"/>
      <c r="E759" s="92"/>
      <c r="F759" s="104"/>
      <c r="G759" s="92"/>
      <c r="H759" s="90">
        <v>2100709</v>
      </c>
      <c r="I759" s="113" t="s">
        <v>1274</v>
      </c>
      <c r="J759" s="143">
        <v>4209</v>
      </c>
      <c r="K759" s="143"/>
      <c r="L759" s="87">
        <v>4155</v>
      </c>
      <c r="M759" s="92" t="str">
        <f t="shared" si="24"/>
        <v/>
      </c>
      <c r="N759" s="104">
        <v>1915</v>
      </c>
      <c r="O759" s="92">
        <f t="shared" si="25"/>
        <v>1.1697127937336815</v>
      </c>
      <c r="T759" s="97"/>
    </row>
    <row r="760" spans="1:20" ht="18" customHeight="1">
      <c r="A760" s="103"/>
      <c r="B760" s="104"/>
      <c r="C760" s="104"/>
      <c r="D760" s="104"/>
      <c r="E760" s="92"/>
      <c r="F760" s="104"/>
      <c r="G760" s="92"/>
      <c r="H760" s="90">
        <v>2100710</v>
      </c>
      <c r="I760" s="90" t="s">
        <v>404</v>
      </c>
      <c r="J760" s="104"/>
      <c r="K760" s="104"/>
      <c r="L760" s="104"/>
      <c r="M760" s="92" t="str">
        <f t="shared" si="24"/>
        <v/>
      </c>
      <c r="N760" s="104">
        <v>0</v>
      </c>
      <c r="O760" s="92" t="str">
        <f t="shared" si="25"/>
        <v/>
      </c>
      <c r="T760" s="97"/>
    </row>
    <row r="761" spans="1:20" ht="18" customHeight="1">
      <c r="A761" s="103"/>
      <c r="B761" s="104"/>
      <c r="C761" s="104"/>
      <c r="D761" s="104"/>
      <c r="E761" s="92"/>
      <c r="F761" s="104"/>
      <c r="G761" s="92"/>
      <c r="H761" s="90">
        <v>2100711</v>
      </c>
      <c r="I761" s="90" t="s">
        <v>405</v>
      </c>
      <c r="J761" s="104"/>
      <c r="K761" s="104"/>
      <c r="L761" s="104"/>
      <c r="M761" s="92" t="str">
        <f t="shared" si="24"/>
        <v/>
      </c>
      <c r="N761" s="104">
        <v>50</v>
      </c>
      <c r="O761" s="92">
        <f t="shared" si="25"/>
        <v>-1</v>
      </c>
      <c r="T761" s="97"/>
    </row>
    <row r="762" spans="1:20" ht="18" customHeight="1">
      <c r="A762" s="103"/>
      <c r="B762" s="104"/>
      <c r="C762" s="104"/>
      <c r="D762" s="104"/>
      <c r="E762" s="92"/>
      <c r="F762" s="104"/>
      <c r="G762" s="92"/>
      <c r="H762" s="90">
        <v>2100712</v>
      </c>
      <c r="I762" s="90" t="s">
        <v>406</v>
      </c>
      <c r="J762" s="104"/>
      <c r="K762" s="104"/>
      <c r="L762" s="104"/>
      <c r="M762" s="92" t="str">
        <f t="shared" si="24"/>
        <v/>
      </c>
      <c r="N762" s="104">
        <v>662</v>
      </c>
      <c r="O762" s="92">
        <f t="shared" si="25"/>
        <v>-1</v>
      </c>
      <c r="T762" s="97"/>
    </row>
    <row r="763" spans="1:20" ht="18" customHeight="1">
      <c r="A763" s="103"/>
      <c r="B763" s="104"/>
      <c r="C763" s="104"/>
      <c r="D763" s="104"/>
      <c r="E763" s="92"/>
      <c r="F763" s="104"/>
      <c r="G763" s="92"/>
      <c r="H763" s="90">
        <v>2100713</v>
      </c>
      <c r="I763" s="90" t="s">
        <v>407</v>
      </c>
      <c r="J763" s="104"/>
      <c r="K763" s="104"/>
      <c r="L763" s="104"/>
      <c r="M763" s="92" t="str">
        <f t="shared" si="24"/>
        <v/>
      </c>
      <c r="N763" s="104">
        <v>271</v>
      </c>
      <c r="O763" s="92">
        <f t="shared" si="25"/>
        <v>-1</v>
      </c>
      <c r="T763" s="97"/>
    </row>
    <row r="764" spans="1:20" ht="18" customHeight="1">
      <c r="A764" s="103"/>
      <c r="B764" s="104"/>
      <c r="C764" s="104"/>
      <c r="D764" s="104"/>
      <c r="E764" s="92"/>
      <c r="F764" s="104"/>
      <c r="G764" s="92"/>
      <c r="H764" s="90">
        <v>2100714</v>
      </c>
      <c r="I764" s="90" t="s">
        <v>408</v>
      </c>
      <c r="J764" s="104"/>
      <c r="K764" s="104"/>
      <c r="L764" s="104"/>
      <c r="M764" s="92" t="str">
        <f t="shared" si="24"/>
        <v/>
      </c>
      <c r="N764" s="104">
        <v>0</v>
      </c>
      <c r="O764" s="92" t="str">
        <f t="shared" si="25"/>
        <v/>
      </c>
      <c r="T764" s="97"/>
    </row>
    <row r="765" spans="1:20" ht="18" customHeight="1">
      <c r="A765" s="103"/>
      <c r="B765" s="104"/>
      <c r="C765" s="104"/>
      <c r="D765" s="104"/>
      <c r="E765" s="92"/>
      <c r="F765" s="104"/>
      <c r="G765" s="92"/>
      <c r="H765" s="90">
        <v>2100715</v>
      </c>
      <c r="I765" s="90" t="s">
        <v>409</v>
      </c>
      <c r="J765" s="104"/>
      <c r="K765" s="104"/>
      <c r="L765" s="104"/>
      <c r="M765" s="92" t="str">
        <f t="shared" si="24"/>
        <v/>
      </c>
      <c r="N765" s="104">
        <v>822</v>
      </c>
      <c r="O765" s="92">
        <f t="shared" si="25"/>
        <v>-1</v>
      </c>
      <c r="T765" s="97"/>
    </row>
    <row r="766" spans="1:20" ht="18" customHeight="1">
      <c r="A766" s="103"/>
      <c r="B766" s="104"/>
      <c r="C766" s="104"/>
      <c r="D766" s="104"/>
      <c r="E766" s="92"/>
      <c r="F766" s="104"/>
      <c r="G766" s="92"/>
      <c r="H766" s="90">
        <v>2100799</v>
      </c>
      <c r="I766" s="90" t="s">
        <v>410</v>
      </c>
      <c r="J766" s="143">
        <v>1030</v>
      </c>
      <c r="K766" s="143"/>
      <c r="L766" s="87">
        <v>1059</v>
      </c>
      <c r="M766" s="92" t="str">
        <f t="shared" si="24"/>
        <v/>
      </c>
      <c r="N766" s="104">
        <v>1501</v>
      </c>
      <c r="O766" s="92">
        <f t="shared" si="25"/>
        <v>-0.29447035309793468</v>
      </c>
      <c r="T766" s="97"/>
    </row>
    <row r="767" spans="1:20" ht="18" customHeight="1">
      <c r="A767" s="103"/>
      <c r="B767" s="104"/>
      <c r="C767" s="104"/>
      <c r="D767" s="104"/>
      <c r="E767" s="92"/>
      <c r="F767" s="104"/>
      <c r="G767" s="92"/>
      <c r="H767" s="90">
        <v>21010</v>
      </c>
      <c r="I767" s="80" t="s">
        <v>411</v>
      </c>
      <c r="J767" s="143">
        <v>57806</v>
      </c>
      <c r="K767" s="647">
        <v>22669</v>
      </c>
      <c r="L767" s="87">
        <v>22441</v>
      </c>
      <c r="M767" s="92">
        <f t="shared" si="24"/>
        <v>0.98994221183113507</v>
      </c>
      <c r="N767" s="104">
        <v>11147</v>
      </c>
      <c r="O767" s="92">
        <f t="shared" si="25"/>
        <v>1.0131874046828742</v>
      </c>
      <c r="T767" s="97"/>
    </row>
    <row r="768" spans="1:20" ht="18" customHeight="1">
      <c r="A768" s="103"/>
      <c r="B768" s="104"/>
      <c r="C768" s="104"/>
      <c r="D768" s="104"/>
      <c r="E768" s="92"/>
      <c r="F768" s="104"/>
      <c r="G768" s="92"/>
      <c r="H768" s="90">
        <v>2101001</v>
      </c>
      <c r="I768" s="90" t="s">
        <v>1110</v>
      </c>
      <c r="J768" s="143">
        <v>4016</v>
      </c>
      <c r="K768" s="143"/>
      <c r="L768" s="87">
        <v>1646</v>
      </c>
      <c r="M768" s="92" t="str">
        <f t="shared" si="24"/>
        <v/>
      </c>
      <c r="N768" s="104">
        <v>3702</v>
      </c>
      <c r="O768" s="92">
        <f t="shared" si="25"/>
        <v>-0.55537547271745002</v>
      </c>
      <c r="T768" s="97"/>
    </row>
    <row r="769" spans="1:21" ht="18" customHeight="1">
      <c r="A769" s="103"/>
      <c r="B769" s="104"/>
      <c r="C769" s="104"/>
      <c r="D769" s="104"/>
      <c r="E769" s="92"/>
      <c r="F769" s="104"/>
      <c r="G769" s="92"/>
      <c r="H769" s="90">
        <v>2101002</v>
      </c>
      <c r="I769" s="90" t="s">
        <v>1111</v>
      </c>
      <c r="J769" s="143">
        <v>0</v>
      </c>
      <c r="K769" s="143"/>
      <c r="L769" s="87">
        <v>0</v>
      </c>
      <c r="M769" s="92" t="str">
        <f t="shared" si="24"/>
        <v/>
      </c>
      <c r="N769" s="104">
        <v>407</v>
      </c>
      <c r="O769" s="92">
        <f t="shared" si="25"/>
        <v>-1</v>
      </c>
      <c r="T769" s="97"/>
    </row>
    <row r="770" spans="1:21" ht="18" customHeight="1">
      <c r="A770" s="103"/>
      <c r="B770" s="104"/>
      <c r="C770" s="104"/>
      <c r="D770" s="104"/>
      <c r="E770" s="92"/>
      <c r="F770" s="104"/>
      <c r="G770" s="92"/>
      <c r="H770" s="90">
        <v>2101003</v>
      </c>
      <c r="I770" s="90" t="s">
        <v>1112</v>
      </c>
      <c r="J770" s="143">
        <v>0</v>
      </c>
      <c r="K770" s="143"/>
      <c r="L770" s="87">
        <v>0</v>
      </c>
      <c r="M770" s="92" t="str">
        <f t="shared" si="24"/>
        <v/>
      </c>
      <c r="N770" s="104">
        <v>0</v>
      </c>
      <c r="O770" s="92" t="str">
        <f t="shared" si="25"/>
        <v/>
      </c>
      <c r="T770" s="97"/>
    </row>
    <row r="771" spans="1:21" ht="18" customHeight="1">
      <c r="A771" s="103"/>
      <c r="B771" s="104"/>
      <c r="C771" s="104"/>
      <c r="D771" s="104"/>
      <c r="E771" s="92"/>
      <c r="F771" s="104"/>
      <c r="G771" s="92"/>
      <c r="H771" s="90">
        <v>2101012</v>
      </c>
      <c r="I771" s="90" t="s">
        <v>412</v>
      </c>
      <c r="J771" s="143">
        <v>3167</v>
      </c>
      <c r="K771" s="143"/>
      <c r="L771" s="87">
        <v>3062</v>
      </c>
      <c r="M771" s="92" t="str">
        <f t="shared" si="24"/>
        <v/>
      </c>
      <c r="N771" s="104">
        <v>2987</v>
      </c>
      <c r="O771" s="92">
        <f t="shared" si="25"/>
        <v>2.5108804820890507E-2</v>
      </c>
      <c r="T771" s="97"/>
    </row>
    <row r="772" spans="1:21" ht="18" customHeight="1">
      <c r="A772" s="103"/>
      <c r="B772" s="104"/>
      <c r="C772" s="104"/>
      <c r="D772" s="104"/>
      <c r="E772" s="92"/>
      <c r="F772" s="104"/>
      <c r="G772" s="92"/>
      <c r="H772" s="90">
        <v>2101014</v>
      </c>
      <c r="I772" s="90" t="s">
        <v>413</v>
      </c>
      <c r="J772" s="143">
        <v>0</v>
      </c>
      <c r="K772" s="143"/>
      <c r="L772" s="87">
        <v>142</v>
      </c>
      <c r="M772" s="92" t="str">
        <f t="shared" si="24"/>
        <v/>
      </c>
      <c r="N772" s="104">
        <v>142</v>
      </c>
      <c r="O772" s="92">
        <f t="shared" si="25"/>
        <v>0</v>
      </c>
      <c r="T772" s="97"/>
    </row>
    <row r="773" spans="1:21" ht="18" customHeight="1">
      <c r="A773" s="103"/>
      <c r="B773" s="104"/>
      <c r="C773" s="104"/>
      <c r="D773" s="104"/>
      <c r="E773" s="92"/>
      <c r="F773" s="104"/>
      <c r="G773" s="92"/>
      <c r="H773" s="90">
        <v>2101015</v>
      </c>
      <c r="I773" s="90" t="s">
        <v>414</v>
      </c>
      <c r="J773" s="143">
        <v>143</v>
      </c>
      <c r="K773" s="143"/>
      <c r="L773" s="87">
        <v>1298</v>
      </c>
      <c r="M773" s="92" t="str">
        <f t="shared" si="24"/>
        <v/>
      </c>
      <c r="N773" s="104">
        <v>345</v>
      </c>
      <c r="O773" s="92">
        <f t="shared" si="25"/>
        <v>2.7623188405797103</v>
      </c>
      <c r="T773" s="97"/>
    </row>
    <row r="774" spans="1:21" ht="18" customHeight="1">
      <c r="A774" s="103"/>
      <c r="B774" s="104"/>
      <c r="C774" s="104"/>
      <c r="D774" s="104"/>
      <c r="E774" s="92"/>
      <c r="F774" s="104"/>
      <c r="G774" s="92"/>
      <c r="H774" s="90">
        <v>2101016</v>
      </c>
      <c r="I774" s="90" t="s">
        <v>415</v>
      </c>
      <c r="J774" s="143">
        <v>1094</v>
      </c>
      <c r="K774" s="143"/>
      <c r="L774" s="87">
        <v>9528</v>
      </c>
      <c r="M774" s="92" t="str">
        <f t="shared" ref="M774:M837" si="26">+IF(ISERROR(L774/K774),"",L774/K774)</f>
        <v/>
      </c>
      <c r="N774" s="104">
        <v>188</v>
      </c>
      <c r="O774" s="92">
        <f t="shared" si="25"/>
        <v>49.680851063829785</v>
      </c>
      <c r="T774" s="97"/>
    </row>
    <row r="775" spans="1:21" ht="18" customHeight="1">
      <c r="A775" s="103"/>
      <c r="B775" s="104"/>
      <c r="C775" s="104"/>
      <c r="D775" s="104"/>
      <c r="E775" s="92"/>
      <c r="F775" s="104"/>
      <c r="G775" s="92"/>
      <c r="H775" s="90">
        <v>2101050</v>
      </c>
      <c r="I775" s="90" t="s">
        <v>1119</v>
      </c>
      <c r="J775" s="143">
        <v>5640</v>
      </c>
      <c r="K775" s="143"/>
      <c r="L775" s="87">
        <v>6700</v>
      </c>
      <c r="M775" s="92" t="str">
        <f t="shared" si="26"/>
        <v/>
      </c>
      <c r="N775" s="104">
        <v>2614</v>
      </c>
      <c r="O775" s="92">
        <f t="shared" ref="O775:O838" si="27">IF(ISERROR(L775/N775-1),"",(L775/N775-1))</f>
        <v>1.5631216526396328</v>
      </c>
      <c r="T775" s="97"/>
    </row>
    <row r="776" spans="1:21" ht="18" customHeight="1">
      <c r="A776" s="103"/>
      <c r="B776" s="104"/>
      <c r="C776" s="104"/>
      <c r="D776" s="104"/>
      <c r="E776" s="92"/>
      <c r="F776" s="104"/>
      <c r="G776" s="92"/>
      <c r="H776" s="90">
        <v>2101099</v>
      </c>
      <c r="I776" s="90" t="s">
        <v>416</v>
      </c>
      <c r="J776" s="143">
        <v>43746</v>
      </c>
      <c r="K776" s="143"/>
      <c r="L776" s="87">
        <v>65</v>
      </c>
      <c r="M776" s="92" t="str">
        <f t="shared" si="26"/>
        <v/>
      </c>
      <c r="N776" s="104">
        <v>762</v>
      </c>
      <c r="O776" s="92">
        <f t="shared" si="27"/>
        <v>-0.91469816272965876</v>
      </c>
      <c r="T776" s="97"/>
    </row>
    <row r="777" spans="1:21" ht="18" customHeight="1">
      <c r="A777" s="103"/>
      <c r="B777" s="104"/>
      <c r="C777" s="104"/>
      <c r="D777" s="104"/>
      <c r="E777" s="92"/>
      <c r="F777" s="104"/>
      <c r="G777" s="92"/>
      <c r="H777" s="90">
        <v>21099</v>
      </c>
      <c r="I777" s="80" t="s">
        <v>417</v>
      </c>
      <c r="J777" s="108">
        <f>-500000+560516</f>
        <v>60516</v>
      </c>
      <c r="K777" s="647">
        <v>78157</v>
      </c>
      <c r="L777" s="87">
        <v>77978</v>
      </c>
      <c r="M777" s="92">
        <f t="shared" si="26"/>
        <v>0.99770973809127783</v>
      </c>
      <c r="N777" s="104">
        <v>368836</v>
      </c>
      <c r="O777" s="92">
        <f t="shared" si="27"/>
        <v>-0.78858354390569252</v>
      </c>
      <c r="T777" s="97"/>
    </row>
    <row r="778" spans="1:21" ht="18" customHeight="1">
      <c r="A778" s="103"/>
      <c r="B778" s="104"/>
      <c r="C778" s="104"/>
      <c r="D778" s="104"/>
      <c r="E778" s="92"/>
      <c r="F778" s="104"/>
      <c r="G778" s="92"/>
      <c r="H778" s="90">
        <v>2109901</v>
      </c>
      <c r="I778" s="90" t="s">
        <v>418</v>
      </c>
      <c r="J778" s="143">
        <f>-500000+560516</f>
        <v>60516</v>
      </c>
      <c r="K778" s="143"/>
      <c r="L778" s="87">
        <v>77978</v>
      </c>
      <c r="M778" s="92" t="str">
        <f t="shared" si="26"/>
        <v/>
      </c>
      <c r="N778" s="104">
        <v>368836</v>
      </c>
      <c r="O778" s="92">
        <f t="shared" si="27"/>
        <v>-0.78858354390569252</v>
      </c>
      <c r="T778" s="97"/>
    </row>
    <row r="779" spans="1:21" s="112" customFormat="1" ht="18" customHeight="1">
      <c r="A779" s="111"/>
      <c r="B779" s="109"/>
      <c r="C779" s="109"/>
      <c r="D779" s="109"/>
      <c r="E779" s="82"/>
      <c r="F779" s="109"/>
      <c r="G779" s="82"/>
      <c r="H779" s="80">
        <v>211</v>
      </c>
      <c r="I779" s="80" t="s">
        <v>419</v>
      </c>
      <c r="J779" s="110">
        <f>-500000+1426699</f>
        <v>926699</v>
      </c>
      <c r="K779" s="656">
        <v>944177</v>
      </c>
      <c r="L779" s="77">
        <v>832193</v>
      </c>
      <c r="M779" s="82">
        <f t="shared" si="26"/>
        <v>0.88139511977097518</v>
      </c>
      <c r="N779" s="109">
        <v>1193156</v>
      </c>
      <c r="O779" s="82">
        <f t="shared" si="27"/>
        <v>-0.30252791755646369</v>
      </c>
      <c r="P779" s="84" t="s">
        <v>419</v>
      </c>
      <c r="Q779" s="112">
        <v>1291301</v>
      </c>
      <c r="R779" s="112">
        <v>1245124</v>
      </c>
      <c r="S779" s="112">
        <v>1193156</v>
      </c>
      <c r="T779" s="96"/>
    </row>
    <row r="780" spans="1:21" ht="18" customHeight="1">
      <c r="A780" s="103"/>
      <c r="B780" s="104"/>
      <c r="C780" s="104"/>
      <c r="D780" s="104"/>
      <c r="E780" s="92"/>
      <c r="F780" s="104"/>
      <c r="G780" s="92"/>
      <c r="H780" s="90">
        <v>21101</v>
      </c>
      <c r="I780" s="80" t="s">
        <v>420</v>
      </c>
      <c r="J780" s="143">
        <v>4311</v>
      </c>
      <c r="K780" s="647">
        <v>7868</v>
      </c>
      <c r="L780" s="87">
        <v>7868</v>
      </c>
      <c r="M780" s="92">
        <f t="shared" si="26"/>
        <v>1</v>
      </c>
      <c r="N780" s="104">
        <v>7601</v>
      </c>
      <c r="O780" s="92">
        <f t="shared" si="27"/>
        <v>3.512695697934487E-2</v>
      </c>
      <c r="P780" s="75" t="s">
        <v>420</v>
      </c>
      <c r="Q780" s="63">
        <v>3455</v>
      </c>
      <c r="R780" s="63">
        <v>7601</v>
      </c>
      <c r="S780" s="63">
        <v>7601</v>
      </c>
      <c r="T780" s="96" t="s">
        <v>1065</v>
      </c>
      <c r="U780" s="63">
        <v>1266287</v>
      </c>
    </row>
    <row r="781" spans="1:21" ht="18" customHeight="1">
      <c r="A781" s="103"/>
      <c r="B781" s="104"/>
      <c r="C781" s="104"/>
      <c r="D781" s="104"/>
      <c r="E781" s="92"/>
      <c r="F781" s="104"/>
      <c r="G781" s="92"/>
      <c r="H781" s="90">
        <v>2110101</v>
      </c>
      <c r="I781" s="90" t="s">
        <v>1110</v>
      </c>
      <c r="J781" s="143">
        <v>2428</v>
      </c>
      <c r="K781" s="143"/>
      <c r="L781" s="87">
        <v>2549</v>
      </c>
      <c r="M781" s="92" t="str">
        <f t="shared" si="26"/>
        <v/>
      </c>
      <c r="N781" s="104">
        <v>2273</v>
      </c>
      <c r="O781" s="92">
        <f t="shared" si="27"/>
        <v>0.12142542894852615</v>
      </c>
      <c r="P781" s="75" t="s">
        <v>426</v>
      </c>
      <c r="Q781" s="63">
        <v>874</v>
      </c>
      <c r="R781" s="63">
        <v>885</v>
      </c>
      <c r="S781" s="63">
        <v>885</v>
      </c>
      <c r="T781" s="97" t="s">
        <v>420</v>
      </c>
      <c r="U781" s="63">
        <v>9337</v>
      </c>
    </row>
    <row r="782" spans="1:21" ht="18" customHeight="1">
      <c r="A782" s="103"/>
      <c r="B782" s="104"/>
      <c r="C782" s="104"/>
      <c r="D782" s="104"/>
      <c r="E782" s="92"/>
      <c r="F782" s="104"/>
      <c r="G782" s="92"/>
      <c r="H782" s="90">
        <v>2110102</v>
      </c>
      <c r="I782" s="90" t="s">
        <v>1111</v>
      </c>
      <c r="J782" s="143">
        <v>284</v>
      </c>
      <c r="K782" s="143"/>
      <c r="L782" s="87">
        <v>333</v>
      </c>
      <c r="M782" s="92" t="str">
        <f t="shared" si="26"/>
        <v/>
      </c>
      <c r="N782" s="104">
        <v>443</v>
      </c>
      <c r="O782" s="92">
        <f t="shared" si="27"/>
        <v>-0.24830699774266363</v>
      </c>
      <c r="P782" s="75" t="s">
        <v>430</v>
      </c>
      <c r="Q782" s="63">
        <v>322207</v>
      </c>
      <c r="R782" s="63">
        <v>284784</v>
      </c>
      <c r="S782" s="63">
        <v>283224</v>
      </c>
      <c r="T782" s="97" t="s">
        <v>426</v>
      </c>
      <c r="U782" s="63">
        <v>924</v>
      </c>
    </row>
    <row r="783" spans="1:21" ht="18" customHeight="1">
      <c r="A783" s="103"/>
      <c r="B783" s="104"/>
      <c r="C783" s="104"/>
      <c r="D783" s="104"/>
      <c r="E783" s="92"/>
      <c r="F783" s="104"/>
      <c r="G783" s="92"/>
      <c r="H783" s="90">
        <v>2110103</v>
      </c>
      <c r="I783" s="90" t="s">
        <v>1112</v>
      </c>
      <c r="J783" s="143">
        <v>0</v>
      </c>
      <c r="K783" s="143"/>
      <c r="L783" s="87">
        <v>0</v>
      </c>
      <c r="M783" s="92" t="str">
        <f t="shared" si="26"/>
        <v/>
      </c>
      <c r="N783" s="104">
        <v>0</v>
      </c>
      <c r="O783" s="92" t="str">
        <f t="shared" si="27"/>
        <v/>
      </c>
      <c r="P783" s="75" t="s">
        <v>1029</v>
      </c>
      <c r="Q783" s="63">
        <v>0</v>
      </c>
      <c r="R783" s="63">
        <v>0</v>
      </c>
      <c r="S783" s="63">
        <v>0</v>
      </c>
      <c r="T783" s="97" t="s">
        <v>430</v>
      </c>
      <c r="U783" s="63">
        <v>208604</v>
      </c>
    </row>
    <row r="784" spans="1:21" ht="18" customHeight="1">
      <c r="A784" s="103"/>
      <c r="B784" s="104"/>
      <c r="C784" s="104"/>
      <c r="D784" s="104"/>
      <c r="E784" s="92"/>
      <c r="F784" s="104"/>
      <c r="G784" s="92"/>
      <c r="H784" s="90">
        <v>2110104</v>
      </c>
      <c r="I784" s="90" t="s">
        <v>421</v>
      </c>
      <c r="J784" s="143">
        <v>256</v>
      </c>
      <c r="K784" s="143"/>
      <c r="L784" s="87">
        <v>290</v>
      </c>
      <c r="M784" s="92" t="str">
        <f t="shared" si="26"/>
        <v/>
      </c>
      <c r="N784" s="104">
        <v>220</v>
      </c>
      <c r="O784" s="92">
        <f t="shared" si="27"/>
        <v>0.31818181818181812</v>
      </c>
      <c r="P784" s="75" t="s">
        <v>439</v>
      </c>
      <c r="Q784" s="63">
        <v>390</v>
      </c>
      <c r="R784" s="63">
        <v>305</v>
      </c>
      <c r="S784" s="63">
        <v>305</v>
      </c>
      <c r="T784" s="97" t="s">
        <v>1029</v>
      </c>
      <c r="U784" s="63">
        <v>0</v>
      </c>
    </row>
    <row r="785" spans="1:21" ht="18" customHeight="1">
      <c r="A785" s="103"/>
      <c r="B785" s="104"/>
      <c r="C785" s="104"/>
      <c r="D785" s="104"/>
      <c r="E785" s="92"/>
      <c r="F785" s="104"/>
      <c r="G785" s="92"/>
      <c r="H785" s="90">
        <v>2110105</v>
      </c>
      <c r="I785" s="90" t="s">
        <v>422</v>
      </c>
      <c r="J785" s="143">
        <v>364</v>
      </c>
      <c r="K785" s="143"/>
      <c r="L785" s="87">
        <v>3098</v>
      </c>
      <c r="M785" s="92" t="str">
        <f t="shared" si="26"/>
        <v/>
      </c>
      <c r="N785" s="104">
        <v>1669</v>
      </c>
      <c r="O785" s="92">
        <f t="shared" si="27"/>
        <v>0.85620131815458356</v>
      </c>
      <c r="P785" s="75" t="s">
        <v>446</v>
      </c>
      <c r="Q785" s="63">
        <v>0</v>
      </c>
      <c r="R785" s="63">
        <v>0</v>
      </c>
      <c r="S785" s="63">
        <v>0</v>
      </c>
      <c r="T785" s="97" t="s">
        <v>439</v>
      </c>
      <c r="U785" s="63">
        <v>708</v>
      </c>
    </row>
    <row r="786" spans="1:21" ht="18" customHeight="1">
      <c r="A786" s="103"/>
      <c r="B786" s="104"/>
      <c r="C786" s="104"/>
      <c r="D786" s="104"/>
      <c r="E786" s="92"/>
      <c r="F786" s="104"/>
      <c r="G786" s="92"/>
      <c r="H786" s="90">
        <v>2110106</v>
      </c>
      <c r="I786" s="90" t="s">
        <v>423</v>
      </c>
      <c r="J786" s="143">
        <v>0</v>
      </c>
      <c r="K786" s="143"/>
      <c r="L786" s="87">
        <v>0</v>
      </c>
      <c r="M786" s="92" t="str">
        <f t="shared" si="26"/>
        <v/>
      </c>
      <c r="N786" s="104">
        <v>0</v>
      </c>
      <c r="O786" s="92" t="str">
        <f t="shared" si="27"/>
        <v/>
      </c>
      <c r="P786" s="75" t="s">
        <v>452</v>
      </c>
      <c r="Q786" s="63">
        <v>0</v>
      </c>
      <c r="R786" s="63">
        <v>0</v>
      </c>
      <c r="S786" s="63">
        <v>0</v>
      </c>
      <c r="T786" s="97" t="s">
        <v>446</v>
      </c>
      <c r="U786" s="63">
        <v>0</v>
      </c>
    </row>
    <row r="787" spans="1:21" ht="18" customHeight="1">
      <c r="A787" s="103"/>
      <c r="B787" s="104"/>
      <c r="C787" s="104"/>
      <c r="D787" s="104"/>
      <c r="E787" s="92"/>
      <c r="F787" s="104"/>
      <c r="G787" s="92"/>
      <c r="H787" s="90">
        <v>2110107</v>
      </c>
      <c r="I787" s="90" t="s">
        <v>424</v>
      </c>
      <c r="J787" s="143">
        <v>0</v>
      </c>
      <c r="K787" s="143"/>
      <c r="L787" s="87">
        <v>0</v>
      </c>
      <c r="M787" s="92" t="str">
        <f t="shared" si="26"/>
        <v/>
      </c>
      <c r="N787" s="104">
        <v>0</v>
      </c>
      <c r="O787" s="92" t="str">
        <f t="shared" si="27"/>
        <v/>
      </c>
      <c r="P787" s="75" t="s">
        <v>458</v>
      </c>
      <c r="Q787" s="63">
        <v>0</v>
      </c>
      <c r="R787" s="63">
        <v>0</v>
      </c>
      <c r="S787" s="63">
        <v>0</v>
      </c>
      <c r="T787" s="97" t="s">
        <v>452</v>
      </c>
      <c r="U787" s="63">
        <v>0</v>
      </c>
    </row>
    <row r="788" spans="1:21" ht="18" customHeight="1">
      <c r="A788" s="103"/>
      <c r="B788" s="104"/>
      <c r="C788" s="104"/>
      <c r="D788" s="104"/>
      <c r="E788" s="92"/>
      <c r="F788" s="104"/>
      <c r="G788" s="92"/>
      <c r="H788" s="90">
        <v>2110199</v>
      </c>
      <c r="I788" s="90" t="s">
        <v>425</v>
      </c>
      <c r="J788" s="143">
        <v>979</v>
      </c>
      <c r="K788" s="143"/>
      <c r="L788" s="87">
        <v>1598</v>
      </c>
      <c r="M788" s="92" t="str">
        <f t="shared" si="26"/>
        <v/>
      </c>
      <c r="N788" s="104">
        <v>2996</v>
      </c>
      <c r="O788" s="92">
        <f t="shared" si="27"/>
        <v>-0.46662216288384517</v>
      </c>
      <c r="P788" s="75" t="s">
        <v>461</v>
      </c>
      <c r="Q788" s="63">
        <v>0</v>
      </c>
      <c r="R788" s="63">
        <v>0</v>
      </c>
      <c r="S788" s="63">
        <v>0</v>
      </c>
      <c r="T788" s="97" t="s">
        <v>458</v>
      </c>
      <c r="U788" s="63">
        <v>0</v>
      </c>
    </row>
    <row r="789" spans="1:21" ht="18" customHeight="1">
      <c r="A789" s="103"/>
      <c r="B789" s="104"/>
      <c r="C789" s="104"/>
      <c r="D789" s="104"/>
      <c r="E789" s="92"/>
      <c r="F789" s="104"/>
      <c r="G789" s="92"/>
      <c r="H789" s="90">
        <v>21102</v>
      </c>
      <c r="I789" s="80" t="s">
        <v>426</v>
      </c>
      <c r="J789" s="143">
        <v>1018</v>
      </c>
      <c r="K789" s="647">
        <v>4394</v>
      </c>
      <c r="L789" s="87">
        <v>4394</v>
      </c>
      <c r="M789" s="92">
        <f t="shared" si="26"/>
        <v>1</v>
      </c>
      <c r="N789" s="104">
        <v>885</v>
      </c>
      <c r="O789" s="92">
        <f t="shared" si="27"/>
        <v>3.9649717514124294</v>
      </c>
      <c r="P789" s="75" t="s">
        <v>1030</v>
      </c>
      <c r="Q789" s="63">
        <v>0</v>
      </c>
      <c r="R789" s="63">
        <v>0</v>
      </c>
      <c r="S789" s="63">
        <v>0</v>
      </c>
      <c r="T789" s="97" t="s">
        <v>461</v>
      </c>
      <c r="U789" s="63">
        <v>0</v>
      </c>
    </row>
    <row r="790" spans="1:21" ht="18" customHeight="1">
      <c r="A790" s="103"/>
      <c r="B790" s="104"/>
      <c r="C790" s="104"/>
      <c r="D790" s="104"/>
      <c r="E790" s="92"/>
      <c r="F790" s="104"/>
      <c r="G790" s="92"/>
      <c r="H790" s="90">
        <v>2110203</v>
      </c>
      <c r="I790" s="90" t="s">
        <v>427</v>
      </c>
      <c r="J790" s="143">
        <v>1018</v>
      </c>
      <c r="K790" s="143"/>
      <c r="L790" s="87">
        <v>1000</v>
      </c>
      <c r="M790" s="92" t="str">
        <f t="shared" si="26"/>
        <v/>
      </c>
      <c r="N790" s="104">
        <v>885</v>
      </c>
      <c r="O790" s="92">
        <f t="shared" si="27"/>
        <v>0.12994350282485878</v>
      </c>
      <c r="P790" s="75" t="s">
        <v>1031</v>
      </c>
      <c r="Q790" s="63">
        <v>261652</v>
      </c>
      <c r="R790" s="63">
        <v>96270</v>
      </c>
      <c r="S790" s="63">
        <v>51044</v>
      </c>
      <c r="T790" s="97" t="s">
        <v>1030</v>
      </c>
      <c r="U790" s="63">
        <v>0</v>
      </c>
    </row>
    <row r="791" spans="1:21" ht="18" customHeight="1">
      <c r="A791" s="103"/>
      <c r="B791" s="104"/>
      <c r="C791" s="104"/>
      <c r="D791" s="104"/>
      <c r="E791" s="92"/>
      <c r="F791" s="104"/>
      <c r="G791" s="92"/>
      <c r="H791" s="90">
        <v>2110204</v>
      </c>
      <c r="I791" s="90" t="s">
        <v>428</v>
      </c>
      <c r="J791" s="143">
        <v>0</v>
      </c>
      <c r="K791" s="143"/>
      <c r="L791" s="87">
        <v>0</v>
      </c>
      <c r="M791" s="92" t="str">
        <f t="shared" si="26"/>
        <v/>
      </c>
      <c r="N791" s="104">
        <v>0</v>
      </c>
      <c r="O791" s="92" t="str">
        <f t="shared" si="27"/>
        <v/>
      </c>
      <c r="P791" s="75" t="s">
        <v>468</v>
      </c>
      <c r="Q791" s="63">
        <v>8576</v>
      </c>
      <c r="R791" s="63">
        <v>18786</v>
      </c>
      <c r="S791" s="63">
        <v>16405</v>
      </c>
      <c r="T791" s="97" t="s">
        <v>1031</v>
      </c>
      <c r="U791" s="63">
        <v>17190</v>
      </c>
    </row>
    <row r="792" spans="1:21" ht="18" customHeight="1">
      <c r="A792" s="103"/>
      <c r="B792" s="104"/>
      <c r="C792" s="104"/>
      <c r="D792" s="104"/>
      <c r="E792" s="92"/>
      <c r="F792" s="104"/>
      <c r="G792" s="92"/>
      <c r="H792" s="90">
        <v>2110299</v>
      </c>
      <c r="I792" s="90" t="s">
        <v>429</v>
      </c>
      <c r="J792" s="143">
        <v>0</v>
      </c>
      <c r="K792" s="143"/>
      <c r="L792" s="87">
        <v>3394</v>
      </c>
      <c r="M792" s="92" t="str">
        <f t="shared" si="26"/>
        <v/>
      </c>
      <c r="N792" s="104">
        <v>0</v>
      </c>
      <c r="O792" s="92" t="str">
        <f t="shared" si="27"/>
        <v/>
      </c>
      <c r="P792" s="75" t="s">
        <v>1032</v>
      </c>
      <c r="Q792" s="63">
        <v>184545</v>
      </c>
      <c r="R792" s="63">
        <v>124657</v>
      </c>
      <c r="S792" s="63">
        <v>121856</v>
      </c>
      <c r="T792" s="97" t="s">
        <v>468</v>
      </c>
      <c r="U792" s="63">
        <v>11875</v>
      </c>
    </row>
    <row r="793" spans="1:21" ht="18" customHeight="1">
      <c r="A793" s="103"/>
      <c r="B793" s="104"/>
      <c r="C793" s="104"/>
      <c r="D793" s="104"/>
      <c r="E793" s="92"/>
      <c r="F793" s="104"/>
      <c r="G793" s="92"/>
      <c r="H793" s="90">
        <v>21103</v>
      </c>
      <c r="I793" s="80" t="s">
        <v>430</v>
      </c>
      <c r="J793" s="143">
        <v>295004</v>
      </c>
      <c r="K793" s="647">
        <v>254314</v>
      </c>
      <c r="L793" s="87">
        <v>248314</v>
      </c>
      <c r="M793" s="92">
        <f t="shared" si="26"/>
        <v>0.9764071187586999</v>
      </c>
      <c r="N793" s="104">
        <v>283224</v>
      </c>
      <c r="O793" s="92">
        <f t="shared" si="27"/>
        <v>-0.12325932830551078</v>
      </c>
      <c r="P793" s="75" t="s">
        <v>1033</v>
      </c>
      <c r="Q793" s="63">
        <v>0</v>
      </c>
      <c r="R793" s="63">
        <v>0</v>
      </c>
      <c r="S793" s="63">
        <v>0</v>
      </c>
      <c r="T793" s="97" t="s">
        <v>1032</v>
      </c>
      <c r="U793" s="63">
        <v>23513</v>
      </c>
    </row>
    <row r="794" spans="1:21" ht="18" customHeight="1">
      <c r="A794" s="103"/>
      <c r="B794" s="104"/>
      <c r="C794" s="104"/>
      <c r="D794" s="104"/>
      <c r="E794" s="92"/>
      <c r="F794" s="104"/>
      <c r="G794" s="92"/>
      <c r="H794" s="90">
        <v>2110301</v>
      </c>
      <c r="I794" s="90" t="s">
        <v>431</v>
      </c>
      <c r="J794" s="143">
        <v>86160</v>
      </c>
      <c r="K794" s="143"/>
      <c r="L794" s="87">
        <v>67647</v>
      </c>
      <c r="M794" s="92" t="str">
        <f t="shared" si="26"/>
        <v/>
      </c>
      <c r="N794" s="104">
        <v>58887</v>
      </c>
      <c r="O794" s="92">
        <f t="shared" si="27"/>
        <v>0.14875948851189569</v>
      </c>
      <c r="P794" s="75" t="s">
        <v>478</v>
      </c>
      <c r="Q794" s="63">
        <v>0</v>
      </c>
      <c r="R794" s="63">
        <v>0</v>
      </c>
      <c r="S794" s="63">
        <v>0</v>
      </c>
      <c r="T794" s="97" t="s">
        <v>1033</v>
      </c>
      <c r="U794" s="63">
        <v>280</v>
      </c>
    </row>
    <row r="795" spans="1:21" ht="18" customHeight="1">
      <c r="A795" s="103"/>
      <c r="B795" s="104"/>
      <c r="C795" s="104"/>
      <c r="D795" s="104"/>
      <c r="E795" s="92"/>
      <c r="F795" s="104"/>
      <c r="G795" s="92"/>
      <c r="H795" s="90">
        <v>2110302</v>
      </c>
      <c r="I795" s="90" t="s">
        <v>432</v>
      </c>
      <c r="J795" s="143">
        <v>190992</v>
      </c>
      <c r="K795" s="143"/>
      <c r="L795" s="87">
        <v>171577</v>
      </c>
      <c r="M795" s="92" t="str">
        <f t="shared" si="26"/>
        <v/>
      </c>
      <c r="N795" s="104">
        <v>223187</v>
      </c>
      <c r="O795" s="92">
        <f t="shared" si="27"/>
        <v>-0.23124106690801882</v>
      </c>
      <c r="P795" s="75" t="s">
        <v>1034</v>
      </c>
      <c r="Q795" s="63">
        <v>509602</v>
      </c>
      <c r="R795" s="63">
        <v>711836</v>
      </c>
      <c r="S795" s="63">
        <v>711836</v>
      </c>
      <c r="T795" s="97" t="s">
        <v>478</v>
      </c>
      <c r="U795" s="63">
        <v>3</v>
      </c>
    </row>
    <row r="796" spans="1:21" ht="18" customHeight="1">
      <c r="A796" s="103"/>
      <c r="B796" s="104"/>
      <c r="C796" s="104"/>
      <c r="D796" s="104"/>
      <c r="E796" s="92"/>
      <c r="F796" s="104"/>
      <c r="G796" s="92"/>
      <c r="H796" s="90">
        <v>2110303</v>
      </c>
      <c r="I796" s="90" t="s">
        <v>433</v>
      </c>
      <c r="J796" s="143">
        <v>0</v>
      </c>
      <c r="K796" s="143"/>
      <c r="L796" s="87">
        <v>0</v>
      </c>
      <c r="M796" s="92" t="str">
        <f t="shared" si="26"/>
        <v/>
      </c>
      <c r="N796" s="104">
        <v>0</v>
      </c>
      <c r="O796" s="92" t="str">
        <f t="shared" si="27"/>
        <v/>
      </c>
      <c r="P796" s="75" t="s">
        <v>491</v>
      </c>
      <c r="Q796" s="63">
        <v>920635</v>
      </c>
      <c r="R796" s="63">
        <v>927530</v>
      </c>
      <c r="S796" s="63">
        <v>927399</v>
      </c>
      <c r="T796" s="97" t="s">
        <v>1034</v>
      </c>
      <c r="U796" s="63">
        <v>993853</v>
      </c>
    </row>
    <row r="797" spans="1:21" ht="18" customHeight="1">
      <c r="A797" s="103"/>
      <c r="B797" s="104"/>
      <c r="C797" s="104"/>
      <c r="D797" s="104"/>
      <c r="E797" s="92"/>
      <c r="F797" s="104"/>
      <c r="G797" s="92"/>
      <c r="H797" s="90">
        <v>2110304</v>
      </c>
      <c r="I797" s="90" t="s">
        <v>434</v>
      </c>
      <c r="J797" s="143">
        <v>16800</v>
      </c>
      <c r="K797" s="143"/>
      <c r="L797" s="87">
        <v>7889</v>
      </c>
      <c r="M797" s="92" t="str">
        <f t="shared" si="26"/>
        <v/>
      </c>
      <c r="N797" s="104">
        <v>0</v>
      </c>
      <c r="O797" s="92" t="str">
        <f t="shared" si="27"/>
        <v/>
      </c>
      <c r="P797" s="75" t="s">
        <v>492</v>
      </c>
      <c r="Q797" s="63">
        <v>23008</v>
      </c>
      <c r="R797" s="63">
        <v>25212</v>
      </c>
      <c r="S797" s="63">
        <v>25081</v>
      </c>
      <c r="T797" s="97"/>
    </row>
    <row r="798" spans="1:21" ht="18" customHeight="1">
      <c r="A798" s="103"/>
      <c r="B798" s="104"/>
      <c r="C798" s="104"/>
      <c r="D798" s="104"/>
      <c r="E798" s="92"/>
      <c r="F798" s="104"/>
      <c r="G798" s="92"/>
      <c r="H798" s="90">
        <v>2110305</v>
      </c>
      <c r="I798" s="90" t="s">
        <v>435</v>
      </c>
      <c r="J798" s="143">
        <v>0</v>
      </c>
      <c r="K798" s="143"/>
      <c r="L798" s="87">
        <v>0</v>
      </c>
      <c r="M798" s="92" t="str">
        <f t="shared" si="26"/>
        <v/>
      </c>
      <c r="N798" s="104">
        <v>0</v>
      </c>
      <c r="O798" s="92" t="str">
        <f t="shared" si="27"/>
        <v/>
      </c>
      <c r="P798" s="75" t="s">
        <v>1035</v>
      </c>
      <c r="Q798" s="63">
        <v>5500</v>
      </c>
      <c r="R798" s="63">
        <v>4998</v>
      </c>
      <c r="S798" s="63">
        <v>4998</v>
      </c>
      <c r="T798" s="97"/>
    </row>
    <row r="799" spans="1:21" ht="18" customHeight="1">
      <c r="A799" s="103"/>
      <c r="B799" s="104"/>
      <c r="C799" s="104"/>
      <c r="D799" s="104"/>
      <c r="E799" s="92"/>
      <c r="F799" s="104"/>
      <c r="G799" s="92"/>
      <c r="H799" s="90">
        <v>2110306</v>
      </c>
      <c r="I799" s="90" t="s">
        <v>436</v>
      </c>
      <c r="J799" s="143">
        <v>0</v>
      </c>
      <c r="K799" s="143"/>
      <c r="L799" s="87">
        <v>0</v>
      </c>
      <c r="M799" s="92" t="str">
        <f t="shared" si="26"/>
        <v/>
      </c>
      <c r="N799" s="104">
        <v>0</v>
      </c>
      <c r="O799" s="92" t="str">
        <f t="shared" si="27"/>
        <v/>
      </c>
      <c r="P799" s="75" t="s">
        <v>503</v>
      </c>
      <c r="Q799" s="63">
        <v>14632</v>
      </c>
      <c r="R799" s="63">
        <v>15072</v>
      </c>
      <c r="S799" s="63">
        <v>15072</v>
      </c>
      <c r="T799" s="97"/>
    </row>
    <row r="800" spans="1:21" ht="18" customHeight="1">
      <c r="A800" s="103"/>
      <c r="B800" s="104"/>
      <c r="C800" s="104"/>
      <c r="D800" s="104"/>
      <c r="E800" s="92"/>
      <c r="F800" s="104"/>
      <c r="G800" s="92"/>
      <c r="H800" s="90">
        <v>2110307</v>
      </c>
      <c r="I800" s="90" t="s">
        <v>437</v>
      </c>
      <c r="J800" s="143">
        <v>0</v>
      </c>
      <c r="K800" s="143"/>
      <c r="L800" s="87">
        <v>0</v>
      </c>
      <c r="M800" s="92" t="str">
        <f t="shared" si="26"/>
        <v/>
      </c>
      <c r="N800" s="104">
        <v>0</v>
      </c>
      <c r="O800" s="92" t="str">
        <f t="shared" si="27"/>
        <v/>
      </c>
      <c r="P800" s="75" t="s">
        <v>1036</v>
      </c>
      <c r="Q800" s="63">
        <v>92275</v>
      </c>
      <c r="R800" s="63">
        <v>100358</v>
      </c>
      <c r="S800" s="63">
        <v>100358</v>
      </c>
      <c r="T800" s="97"/>
    </row>
    <row r="801" spans="1:20" ht="18" customHeight="1">
      <c r="A801" s="103"/>
      <c r="B801" s="104"/>
      <c r="C801" s="104"/>
      <c r="D801" s="104"/>
      <c r="E801" s="92"/>
      <c r="F801" s="104"/>
      <c r="G801" s="92"/>
      <c r="H801" s="90">
        <v>2110399</v>
      </c>
      <c r="I801" s="90" t="s">
        <v>438</v>
      </c>
      <c r="J801" s="143">
        <v>1052</v>
      </c>
      <c r="K801" s="143"/>
      <c r="L801" s="87">
        <v>1201</v>
      </c>
      <c r="M801" s="92" t="str">
        <f t="shared" si="26"/>
        <v/>
      </c>
      <c r="N801" s="104">
        <v>1150</v>
      </c>
      <c r="O801" s="92">
        <f t="shared" si="27"/>
        <v>4.4347826086956532E-2</v>
      </c>
      <c r="P801" s="75" t="s">
        <v>1037</v>
      </c>
      <c r="Q801" s="63">
        <v>2480</v>
      </c>
      <c r="R801" s="63">
        <v>2373</v>
      </c>
      <c r="S801" s="63">
        <v>2373</v>
      </c>
      <c r="T801" s="97"/>
    </row>
    <row r="802" spans="1:20" ht="18" customHeight="1">
      <c r="A802" s="103"/>
      <c r="B802" s="104"/>
      <c r="C802" s="104"/>
      <c r="D802" s="104"/>
      <c r="E802" s="92"/>
      <c r="F802" s="104"/>
      <c r="G802" s="92"/>
      <c r="H802" s="90">
        <v>21104</v>
      </c>
      <c r="I802" s="80" t="s">
        <v>439</v>
      </c>
      <c r="J802" s="143">
        <v>21807</v>
      </c>
      <c r="K802" s="647">
        <v>576</v>
      </c>
      <c r="L802" s="87">
        <v>576</v>
      </c>
      <c r="M802" s="92">
        <f t="shared" si="26"/>
        <v>1</v>
      </c>
      <c r="N802" s="104">
        <v>305</v>
      </c>
      <c r="O802" s="92">
        <f t="shared" si="27"/>
        <v>0.88852459016393448</v>
      </c>
      <c r="P802" s="75" t="s">
        <v>1038</v>
      </c>
      <c r="Q802" s="63">
        <v>782740</v>
      </c>
      <c r="R802" s="63">
        <v>779517</v>
      </c>
      <c r="S802" s="63">
        <v>779517</v>
      </c>
      <c r="T802" s="97"/>
    </row>
    <row r="803" spans="1:20" ht="18" customHeight="1">
      <c r="A803" s="103"/>
      <c r="B803" s="104"/>
      <c r="C803" s="104"/>
      <c r="D803" s="104"/>
      <c r="E803" s="92"/>
      <c r="F803" s="104"/>
      <c r="G803" s="92"/>
      <c r="H803" s="90">
        <v>2110401</v>
      </c>
      <c r="I803" s="90" t="s">
        <v>440</v>
      </c>
      <c r="J803" s="143">
        <v>1807</v>
      </c>
      <c r="K803" s="143"/>
      <c r="L803" s="87">
        <v>485</v>
      </c>
      <c r="M803" s="92" t="str">
        <f t="shared" si="26"/>
        <v/>
      </c>
      <c r="N803" s="104">
        <v>305</v>
      </c>
      <c r="O803" s="92">
        <f t="shared" si="27"/>
        <v>0.5901639344262295</v>
      </c>
      <c r="P803" s="75" t="s">
        <v>512</v>
      </c>
      <c r="Q803" s="63">
        <v>350772</v>
      </c>
      <c r="R803" s="63">
        <v>423537</v>
      </c>
      <c r="S803" s="63">
        <v>420701</v>
      </c>
      <c r="T803" s="97"/>
    </row>
    <row r="804" spans="1:20" ht="18" customHeight="1">
      <c r="A804" s="103"/>
      <c r="B804" s="104"/>
      <c r="C804" s="104"/>
      <c r="D804" s="104"/>
      <c r="E804" s="92"/>
      <c r="F804" s="104"/>
      <c r="G804" s="92"/>
      <c r="H804" s="90">
        <v>2110402</v>
      </c>
      <c r="I804" s="90" t="s">
        <v>441</v>
      </c>
      <c r="J804" s="143">
        <v>0</v>
      </c>
      <c r="K804" s="143"/>
      <c r="L804" s="87">
        <v>90</v>
      </c>
      <c r="M804" s="92" t="str">
        <f t="shared" si="26"/>
        <v/>
      </c>
      <c r="N804" s="104">
        <v>0</v>
      </c>
      <c r="O804" s="92" t="str">
        <f t="shared" si="27"/>
        <v/>
      </c>
      <c r="P804" s="75" t="s">
        <v>513</v>
      </c>
      <c r="Q804" s="63">
        <v>43361</v>
      </c>
      <c r="R804" s="63">
        <v>33911</v>
      </c>
      <c r="S804" s="63">
        <v>31075</v>
      </c>
      <c r="T804" s="97"/>
    </row>
    <row r="805" spans="1:20" ht="18" customHeight="1">
      <c r="A805" s="103"/>
      <c r="B805" s="104"/>
      <c r="C805" s="104"/>
      <c r="D805" s="104"/>
      <c r="E805" s="92"/>
      <c r="F805" s="104"/>
      <c r="G805" s="92"/>
      <c r="H805" s="90">
        <v>2110403</v>
      </c>
      <c r="I805" s="90" t="s">
        <v>442</v>
      </c>
      <c r="J805" s="143">
        <v>0</v>
      </c>
      <c r="K805" s="143"/>
      <c r="L805" s="87">
        <v>0</v>
      </c>
      <c r="M805" s="92" t="str">
        <f t="shared" si="26"/>
        <v/>
      </c>
      <c r="N805" s="104">
        <v>0</v>
      </c>
      <c r="O805" s="92" t="str">
        <f t="shared" si="27"/>
        <v/>
      </c>
      <c r="P805" s="75" t="s">
        <v>538</v>
      </c>
      <c r="Q805" s="63">
        <v>5628</v>
      </c>
      <c r="R805" s="63">
        <v>5871</v>
      </c>
      <c r="S805" s="63">
        <v>5871</v>
      </c>
      <c r="T805" s="97"/>
    </row>
    <row r="806" spans="1:20" ht="18" customHeight="1">
      <c r="A806" s="103"/>
      <c r="B806" s="104"/>
      <c r="C806" s="104"/>
      <c r="D806" s="104"/>
      <c r="E806" s="92"/>
      <c r="F806" s="104"/>
      <c r="G806" s="92"/>
      <c r="H806" s="90">
        <v>2110404</v>
      </c>
      <c r="I806" s="90" t="s">
        <v>443</v>
      </c>
      <c r="J806" s="143">
        <v>0</v>
      </c>
      <c r="K806" s="143"/>
      <c r="L806" s="87">
        <v>0</v>
      </c>
      <c r="M806" s="92" t="str">
        <f t="shared" si="26"/>
        <v/>
      </c>
      <c r="N806" s="104">
        <v>0</v>
      </c>
      <c r="O806" s="92" t="str">
        <f t="shared" si="27"/>
        <v/>
      </c>
      <c r="P806" s="75" t="s">
        <v>564</v>
      </c>
      <c r="Q806" s="63">
        <v>293972</v>
      </c>
      <c r="R806" s="63">
        <v>381549</v>
      </c>
      <c r="S806" s="63">
        <v>381549</v>
      </c>
      <c r="T806" s="97"/>
    </row>
    <row r="807" spans="1:20" ht="18" customHeight="1">
      <c r="A807" s="103"/>
      <c r="B807" s="104"/>
      <c r="C807" s="104"/>
      <c r="D807" s="104"/>
      <c r="E807" s="92"/>
      <c r="F807" s="104"/>
      <c r="G807" s="92"/>
      <c r="H807" s="90">
        <v>2110405</v>
      </c>
      <c r="I807" s="90" t="s">
        <v>444</v>
      </c>
      <c r="J807" s="143">
        <v>20000</v>
      </c>
      <c r="K807" s="143"/>
      <c r="L807" s="87"/>
      <c r="M807" s="92" t="str">
        <f t="shared" si="26"/>
        <v/>
      </c>
      <c r="N807" s="104">
        <v>0</v>
      </c>
      <c r="O807" s="92" t="str">
        <f t="shared" si="27"/>
        <v/>
      </c>
      <c r="P807" s="75" t="s">
        <v>1039</v>
      </c>
      <c r="Q807" s="63">
        <v>0</v>
      </c>
      <c r="R807" s="63">
        <v>0</v>
      </c>
      <c r="S807" s="63">
        <v>0</v>
      </c>
      <c r="T807" s="97"/>
    </row>
    <row r="808" spans="1:20" ht="18" customHeight="1">
      <c r="A808" s="103"/>
      <c r="B808" s="104"/>
      <c r="C808" s="104"/>
      <c r="D808" s="104"/>
      <c r="E808" s="92"/>
      <c r="F808" s="104"/>
      <c r="G808" s="92"/>
      <c r="H808" s="90">
        <v>2110499</v>
      </c>
      <c r="I808" s="90" t="s">
        <v>445</v>
      </c>
      <c r="J808" s="143"/>
      <c r="K808" s="143"/>
      <c r="L808" s="87">
        <v>1</v>
      </c>
      <c r="M808" s="92" t="str">
        <f t="shared" si="26"/>
        <v/>
      </c>
      <c r="N808" s="104">
        <v>0</v>
      </c>
      <c r="O808" s="92" t="str">
        <f t="shared" si="27"/>
        <v/>
      </c>
      <c r="P808" s="75" t="s">
        <v>587</v>
      </c>
      <c r="Q808" s="63">
        <v>0</v>
      </c>
      <c r="R808" s="63">
        <v>0</v>
      </c>
      <c r="S808" s="63">
        <v>0</v>
      </c>
      <c r="T808" s="97"/>
    </row>
    <row r="809" spans="1:20" ht="18" customHeight="1">
      <c r="A809" s="103"/>
      <c r="B809" s="104"/>
      <c r="C809" s="104"/>
      <c r="D809" s="104"/>
      <c r="E809" s="92"/>
      <c r="F809" s="104"/>
      <c r="G809" s="92"/>
      <c r="H809" s="90">
        <v>21105</v>
      </c>
      <c r="I809" s="80" t="s">
        <v>446</v>
      </c>
      <c r="J809" s="143"/>
      <c r="K809" s="143"/>
      <c r="L809" s="104"/>
      <c r="M809" s="92" t="str">
        <f t="shared" si="26"/>
        <v/>
      </c>
      <c r="N809" s="104">
        <v>0</v>
      </c>
      <c r="O809" s="92" t="str">
        <f t="shared" si="27"/>
        <v/>
      </c>
      <c r="P809" s="75" t="s">
        <v>595</v>
      </c>
      <c r="Q809" s="63">
        <v>0</v>
      </c>
      <c r="R809" s="63">
        <v>0</v>
      </c>
      <c r="S809" s="63">
        <v>0</v>
      </c>
      <c r="T809" s="97"/>
    </row>
    <row r="810" spans="1:20" ht="18" customHeight="1">
      <c r="A810" s="103"/>
      <c r="B810" s="104"/>
      <c r="C810" s="104"/>
      <c r="D810" s="104"/>
      <c r="E810" s="92"/>
      <c r="F810" s="104"/>
      <c r="G810" s="92"/>
      <c r="H810" s="90">
        <v>2110501</v>
      </c>
      <c r="I810" s="90" t="s">
        <v>447</v>
      </c>
      <c r="J810" s="143"/>
      <c r="K810" s="143"/>
      <c r="L810" s="104"/>
      <c r="M810" s="92" t="str">
        <f t="shared" si="26"/>
        <v/>
      </c>
      <c r="N810" s="104">
        <v>0</v>
      </c>
      <c r="O810" s="92" t="str">
        <f t="shared" si="27"/>
        <v/>
      </c>
      <c r="P810" s="75" t="s">
        <v>603</v>
      </c>
      <c r="Q810" s="63">
        <v>0</v>
      </c>
      <c r="R810" s="63">
        <v>0</v>
      </c>
      <c r="S810" s="63">
        <v>0</v>
      </c>
      <c r="T810" s="97"/>
    </row>
    <row r="811" spans="1:20" ht="18" customHeight="1">
      <c r="A811" s="103"/>
      <c r="B811" s="104"/>
      <c r="C811" s="104"/>
      <c r="D811" s="104"/>
      <c r="E811" s="92"/>
      <c r="F811" s="104"/>
      <c r="G811" s="92"/>
      <c r="H811" s="90">
        <v>2110502</v>
      </c>
      <c r="I811" s="90" t="s">
        <v>448</v>
      </c>
      <c r="J811" s="143"/>
      <c r="K811" s="143"/>
      <c r="L811" s="104"/>
      <c r="M811" s="92" t="str">
        <f t="shared" si="26"/>
        <v/>
      </c>
      <c r="N811" s="104">
        <v>0</v>
      </c>
      <c r="O811" s="92" t="str">
        <f t="shared" si="27"/>
        <v/>
      </c>
      <c r="P811" s="75" t="s">
        <v>608</v>
      </c>
      <c r="Q811" s="63">
        <v>0</v>
      </c>
      <c r="R811" s="63">
        <v>0</v>
      </c>
      <c r="S811" s="63">
        <v>0</v>
      </c>
      <c r="T811" s="97"/>
    </row>
    <row r="812" spans="1:20" ht="18" customHeight="1">
      <c r="A812" s="103"/>
      <c r="B812" s="104"/>
      <c r="C812" s="104"/>
      <c r="D812" s="104"/>
      <c r="E812" s="92"/>
      <c r="F812" s="104"/>
      <c r="G812" s="92"/>
      <c r="H812" s="90">
        <v>2110503</v>
      </c>
      <c r="I812" s="90" t="s">
        <v>449</v>
      </c>
      <c r="J812" s="143"/>
      <c r="K812" s="143"/>
      <c r="L812" s="104"/>
      <c r="M812" s="92" t="str">
        <f t="shared" si="26"/>
        <v/>
      </c>
      <c r="N812" s="104">
        <v>0</v>
      </c>
      <c r="O812" s="92" t="str">
        <f t="shared" si="27"/>
        <v/>
      </c>
      <c r="T812" s="97"/>
    </row>
    <row r="813" spans="1:20" ht="18" customHeight="1">
      <c r="A813" s="103"/>
      <c r="B813" s="104"/>
      <c r="C813" s="104"/>
      <c r="D813" s="104"/>
      <c r="E813" s="92"/>
      <c r="F813" s="104"/>
      <c r="G813" s="92"/>
      <c r="H813" s="90">
        <v>2110506</v>
      </c>
      <c r="I813" s="90" t="s">
        <v>450</v>
      </c>
      <c r="J813" s="143"/>
      <c r="K813" s="143"/>
      <c r="L813" s="104"/>
      <c r="M813" s="92" t="str">
        <f t="shared" si="26"/>
        <v/>
      </c>
      <c r="N813" s="104">
        <v>0</v>
      </c>
      <c r="O813" s="92" t="str">
        <f t="shared" si="27"/>
        <v/>
      </c>
      <c r="T813" s="97"/>
    </row>
    <row r="814" spans="1:20" ht="18" customHeight="1">
      <c r="A814" s="103"/>
      <c r="B814" s="104"/>
      <c r="C814" s="104"/>
      <c r="D814" s="104"/>
      <c r="E814" s="92"/>
      <c r="F814" s="104"/>
      <c r="G814" s="92"/>
      <c r="H814" s="90">
        <v>2110599</v>
      </c>
      <c r="I814" s="90" t="s">
        <v>451</v>
      </c>
      <c r="J814" s="143"/>
      <c r="K814" s="143"/>
      <c r="L814" s="104"/>
      <c r="M814" s="92" t="str">
        <f t="shared" si="26"/>
        <v/>
      </c>
      <c r="N814" s="104">
        <v>0</v>
      </c>
      <c r="O814" s="92" t="str">
        <f t="shared" si="27"/>
        <v/>
      </c>
      <c r="T814" s="97"/>
    </row>
    <row r="815" spans="1:20" ht="18" customHeight="1">
      <c r="A815" s="103"/>
      <c r="B815" s="104"/>
      <c r="C815" s="104"/>
      <c r="D815" s="104"/>
      <c r="E815" s="92"/>
      <c r="F815" s="104"/>
      <c r="G815" s="92"/>
      <c r="H815" s="90">
        <v>21106</v>
      </c>
      <c r="I815" s="80" t="s">
        <v>452</v>
      </c>
      <c r="J815" s="143"/>
      <c r="K815" s="143"/>
      <c r="L815" s="104"/>
      <c r="M815" s="92" t="str">
        <f t="shared" si="26"/>
        <v/>
      </c>
      <c r="N815" s="104">
        <v>0</v>
      </c>
      <c r="O815" s="92" t="str">
        <f t="shared" si="27"/>
        <v/>
      </c>
      <c r="T815" s="97"/>
    </row>
    <row r="816" spans="1:20" ht="18" customHeight="1">
      <c r="A816" s="103"/>
      <c r="B816" s="104"/>
      <c r="C816" s="104"/>
      <c r="D816" s="104"/>
      <c r="E816" s="92"/>
      <c r="F816" s="104"/>
      <c r="G816" s="92"/>
      <c r="H816" s="90">
        <v>2110602</v>
      </c>
      <c r="I816" s="90" t="s">
        <v>453</v>
      </c>
      <c r="J816" s="143"/>
      <c r="K816" s="143"/>
      <c r="L816" s="104"/>
      <c r="M816" s="92" t="str">
        <f t="shared" si="26"/>
        <v/>
      </c>
      <c r="N816" s="104">
        <v>0</v>
      </c>
      <c r="O816" s="92" t="str">
        <f t="shared" si="27"/>
        <v/>
      </c>
      <c r="T816" s="97"/>
    </row>
    <row r="817" spans="1:20" ht="18" customHeight="1">
      <c r="A817" s="103"/>
      <c r="B817" s="104"/>
      <c r="C817" s="104"/>
      <c r="D817" s="104"/>
      <c r="E817" s="92"/>
      <c r="F817" s="104"/>
      <c r="G817" s="92"/>
      <c r="H817" s="90">
        <v>2110603</v>
      </c>
      <c r="I817" s="90" t="s">
        <v>454</v>
      </c>
      <c r="J817" s="143"/>
      <c r="K817" s="143"/>
      <c r="L817" s="104"/>
      <c r="M817" s="92" t="str">
        <f t="shared" si="26"/>
        <v/>
      </c>
      <c r="N817" s="104">
        <v>0</v>
      </c>
      <c r="O817" s="92" t="str">
        <f t="shared" si="27"/>
        <v/>
      </c>
      <c r="T817" s="97"/>
    </row>
    <row r="818" spans="1:20" ht="18" customHeight="1">
      <c r="A818" s="103"/>
      <c r="B818" s="104"/>
      <c r="C818" s="104"/>
      <c r="D818" s="104"/>
      <c r="E818" s="92"/>
      <c r="F818" s="104"/>
      <c r="G818" s="92"/>
      <c r="H818" s="90">
        <v>2110604</v>
      </c>
      <c r="I818" s="90" t="s">
        <v>455</v>
      </c>
      <c r="J818" s="143"/>
      <c r="K818" s="143"/>
      <c r="L818" s="104"/>
      <c r="M818" s="92" t="str">
        <f t="shared" si="26"/>
        <v/>
      </c>
      <c r="N818" s="104">
        <v>0</v>
      </c>
      <c r="O818" s="92" t="str">
        <f t="shared" si="27"/>
        <v/>
      </c>
      <c r="T818" s="97"/>
    </row>
    <row r="819" spans="1:20" ht="18" customHeight="1">
      <c r="A819" s="103"/>
      <c r="B819" s="104"/>
      <c r="C819" s="104"/>
      <c r="D819" s="104"/>
      <c r="E819" s="92"/>
      <c r="F819" s="104"/>
      <c r="G819" s="92"/>
      <c r="H819" s="90">
        <v>2110605</v>
      </c>
      <c r="I819" s="90" t="s">
        <v>456</v>
      </c>
      <c r="J819" s="143"/>
      <c r="K819" s="143"/>
      <c r="L819" s="104"/>
      <c r="M819" s="92" t="str">
        <f t="shared" si="26"/>
        <v/>
      </c>
      <c r="N819" s="104">
        <v>0</v>
      </c>
      <c r="O819" s="92" t="str">
        <f t="shared" si="27"/>
        <v/>
      </c>
      <c r="T819" s="97"/>
    </row>
    <row r="820" spans="1:20" ht="18" customHeight="1">
      <c r="A820" s="103"/>
      <c r="B820" s="104"/>
      <c r="C820" s="104"/>
      <c r="D820" s="104"/>
      <c r="E820" s="92"/>
      <c r="F820" s="104"/>
      <c r="G820" s="92"/>
      <c r="H820" s="90">
        <v>2110699</v>
      </c>
      <c r="I820" s="90" t="s">
        <v>457</v>
      </c>
      <c r="J820" s="143"/>
      <c r="K820" s="143"/>
      <c r="L820" s="104"/>
      <c r="M820" s="92" t="str">
        <f t="shared" si="26"/>
        <v/>
      </c>
      <c r="N820" s="104">
        <v>0</v>
      </c>
      <c r="O820" s="92" t="str">
        <f t="shared" si="27"/>
        <v/>
      </c>
      <c r="T820" s="97"/>
    </row>
    <row r="821" spans="1:20" ht="18" customHeight="1">
      <c r="A821" s="103"/>
      <c r="B821" s="104"/>
      <c r="C821" s="104"/>
      <c r="D821" s="104"/>
      <c r="E821" s="92"/>
      <c r="F821" s="104"/>
      <c r="G821" s="92"/>
      <c r="H821" s="90">
        <v>21107</v>
      </c>
      <c r="I821" s="80" t="s">
        <v>458</v>
      </c>
      <c r="J821" s="143"/>
      <c r="K821" s="143"/>
      <c r="L821" s="104"/>
      <c r="M821" s="92" t="str">
        <f t="shared" si="26"/>
        <v/>
      </c>
      <c r="N821" s="104">
        <v>0</v>
      </c>
      <c r="O821" s="92" t="str">
        <f t="shared" si="27"/>
        <v/>
      </c>
      <c r="T821" s="97"/>
    </row>
    <row r="822" spans="1:20" ht="18" customHeight="1">
      <c r="A822" s="103"/>
      <c r="B822" s="104"/>
      <c r="C822" s="104"/>
      <c r="D822" s="104"/>
      <c r="E822" s="92"/>
      <c r="F822" s="104"/>
      <c r="G822" s="92"/>
      <c r="H822" s="90">
        <v>2110704</v>
      </c>
      <c r="I822" s="90" t="s">
        <v>459</v>
      </c>
      <c r="J822" s="143"/>
      <c r="K822" s="143"/>
      <c r="L822" s="104"/>
      <c r="M822" s="92" t="str">
        <f t="shared" si="26"/>
        <v/>
      </c>
      <c r="N822" s="104">
        <v>0</v>
      </c>
      <c r="O822" s="92" t="str">
        <f t="shared" si="27"/>
        <v/>
      </c>
      <c r="T822" s="97"/>
    </row>
    <row r="823" spans="1:20" ht="18" customHeight="1">
      <c r="A823" s="103"/>
      <c r="B823" s="104"/>
      <c r="C823" s="104"/>
      <c r="D823" s="104"/>
      <c r="E823" s="92"/>
      <c r="F823" s="104"/>
      <c r="G823" s="92"/>
      <c r="H823" s="90">
        <v>2110799</v>
      </c>
      <c r="I823" s="90" t="s">
        <v>460</v>
      </c>
      <c r="J823" s="143"/>
      <c r="K823" s="143"/>
      <c r="L823" s="104"/>
      <c r="M823" s="92" t="str">
        <f t="shared" si="26"/>
        <v/>
      </c>
      <c r="N823" s="104">
        <v>0</v>
      </c>
      <c r="O823" s="92" t="str">
        <f t="shared" si="27"/>
        <v/>
      </c>
      <c r="T823" s="97"/>
    </row>
    <row r="824" spans="1:20" ht="18" customHeight="1">
      <c r="A824" s="103"/>
      <c r="B824" s="104"/>
      <c r="C824" s="104"/>
      <c r="D824" s="104"/>
      <c r="E824" s="92"/>
      <c r="F824" s="104"/>
      <c r="G824" s="92"/>
      <c r="H824" s="90">
        <v>21108</v>
      </c>
      <c r="I824" s="80" t="s">
        <v>461</v>
      </c>
      <c r="J824" s="143"/>
      <c r="K824" s="143"/>
      <c r="L824" s="104"/>
      <c r="M824" s="92" t="str">
        <f t="shared" si="26"/>
        <v/>
      </c>
      <c r="N824" s="104">
        <v>0</v>
      </c>
      <c r="O824" s="92" t="str">
        <f t="shared" si="27"/>
        <v/>
      </c>
      <c r="T824" s="97"/>
    </row>
    <row r="825" spans="1:20" ht="18" customHeight="1">
      <c r="A825" s="103"/>
      <c r="B825" s="104"/>
      <c r="C825" s="104"/>
      <c r="D825" s="104"/>
      <c r="E825" s="92"/>
      <c r="F825" s="104"/>
      <c r="G825" s="92"/>
      <c r="H825" s="90">
        <v>2110804</v>
      </c>
      <c r="I825" s="90" t="s">
        <v>462</v>
      </c>
      <c r="J825" s="143"/>
      <c r="K825" s="143"/>
      <c r="L825" s="104"/>
      <c r="M825" s="92" t="str">
        <f t="shared" si="26"/>
        <v/>
      </c>
      <c r="N825" s="104">
        <v>0</v>
      </c>
      <c r="O825" s="92" t="str">
        <f t="shared" si="27"/>
        <v/>
      </c>
      <c r="T825" s="97"/>
    </row>
    <row r="826" spans="1:20" ht="18" customHeight="1">
      <c r="A826" s="103"/>
      <c r="B826" s="104"/>
      <c r="C826" s="104"/>
      <c r="D826" s="104"/>
      <c r="E826" s="92"/>
      <c r="F826" s="104"/>
      <c r="G826" s="92"/>
      <c r="H826" s="90">
        <v>2110899</v>
      </c>
      <c r="I826" s="90" t="s">
        <v>463</v>
      </c>
      <c r="J826" s="143"/>
      <c r="K826" s="143"/>
      <c r="L826" s="104"/>
      <c r="M826" s="92" t="str">
        <f t="shared" si="26"/>
        <v/>
      </c>
      <c r="N826" s="104">
        <v>0</v>
      </c>
      <c r="O826" s="92" t="str">
        <f t="shared" si="27"/>
        <v/>
      </c>
      <c r="T826" s="97"/>
    </row>
    <row r="827" spans="1:20" ht="18" customHeight="1">
      <c r="A827" s="103"/>
      <c r="B827" s="104"/>
      <c r="C827" s="104"/>
      <c r="D827" s="104"/>
      <c r="E827" s="92"/>
      <c r="F827" s="104"/>
      <c r="G827" s="92"/>
      <c r="H827" s="90">
        <v>21109</v>
      </c>
      <c r="I827" s="80" t="s">
        <v>464</v>
      </c>
      <c r="J827" s="143"/>
      <c r="K827" s="143"/>
      <c r="L827" s="104"/>
      <c r="M827" s="92" t="str">
        <f t="shared" si="26"/>
        <v/>
      </c>
      <c r="N827" s="104">
        <v>0</v>
      </c>
      <c r="O827" s="92" t="str">
        <f t="shared" si="27"/>
        <v/>
      </c>
      <c r="T827" s="97"/>
    </row>
    <row r="828" spans="1:20" ht="18" customHeight="1">
      <c r="A828" s="103"/>
      <c r="B828" s="104"/>
      <c r="C828" s="104"/>
      <c r="D828" s="104"/>
      <c r="E828" s="92"/>
      <c r="F828" s="104"/>
      <c r="G828" s="92"/>
      <c r="H828" s="90">
        <v>2110901</v>
      </c>
      <c r="I828" s="90" t="s">
        <v>465</v>
      </c>
      <c r="J828" s="143"/>
      <c r="K828" s="143"/>
      <c r="L828" s="104"/>
      <c r="M828" s="92" t="str">
        <f t="shared" si="26"/>
        <v/>
      </c>
      <c r="N828" s="104">
        <v>0</v>
      </c>
      <c r="O828" s="92" t="str">
        <f t="shared" si="27"/>
        <v/>
      </c>
      <c r="T828" s="97"/>
    </row>
    <row r="829" spans="1:20" ht="18" customHeight="1">
      <c r="A829" s="103"/>
      <c r="B829" s="104"/>
      <c r="C829" s="104"/>
      <c r="D829" s="104"/>
      <c r="E829" s="92"/>
      <c r="F829" s="104"/>
      <c r="G829" s="92"/>
      <c r="H829" s="90">
        <v>21110</v>
      </c>
      <c r="I829" s="80" t="s">
        <v>466</v>
      </c>
      <c r="J829" s="143">
        <v>222825</v>
      </c>
      <c r="K829" s="647">
        <v>37030</v>
      </c>
      <c r="L829" s="87">
        <v>3488</v>
      </c>
      <c r="M829" s="92">
        <f t="shared" si="26"/>
        <v>9.419389684039968E-2</v>
      </c>
      <c r="N829" s="104">
        <v>51044</v>
      </c>
      <c r="O829" s="92">
        <f t="shared" si="27"/>
        <v>-0.93166679727294099</v>
      </c>
      <c r="T829" s="97"/>
    </row>
    <row r="830" spans="1:20" ht="18" customHeight="1">
      <c r="A830" s="103"/>
      <c r="B830" s="104"/>
      <c r="C830" s="104"/>
      <c r="D830" s="104"/>
      <c r="E830" s="92"/>
      <c r="F830" s="104"/>
      <c r="G830" s="92"/>
      <c r="H830" s="90">
        <v>2111001</v>
      </c>
      <c r="I830" s="90" t="s">
        <v>467</v>
      </c>
      <c r="J830" s="143">
        <v>222825</v>
      </c>
      <c r="K830" s="143"/>
      <c r="L830" s="87">
        <v>3488</v>
      </c>
      <c r="M830" s="92" t="str">
        <f t="shared" si="26"/>
        <v/>
      </c>
      <c r="N830" s="104">
        <v>51044</v>
      </c>
      <c r="O830" s="92">
        <f t="shared" si="27"/>
        <v>-0.93166679727294099</v>
      </c>
      <c r="T830" s="97"/>
    </row>
    <row r="831" spans="1:20" ht="18" customHeight="1">
      <c r="A831" s="103"/>
      <c r="B831" s="104"/>
      <c r="C831" s="104"/>
      <c r="D831" s="104"/>
      <c r="E831" s="92"/>
      <c r="F831" s="104"/>
      <c r="G831" s="92"/>
      <c r="H831" s="90">
        <v>21111</v>
      </c>
      <c r="I831" s="80" t="s">
        <v>468</v>
      </c>
      <c r="J831" s="143">
        <v>15821</v>
      </c>
      <c r="K831" s="647">
        <v>35411</v>
      </c>
      <c r="L831" s="87">
        <v>16893</v>
      </c>
      <c r="M831" s="92">
        <f t="shared" si="26"/>
        <v>0.47705515235378837</v>
      </c>
      <c r="N831" s="104">
        <v>16405</v>
      </c>
      <c r="O831" s="92">
        <f t="shared" si="27"/>
        <v>2.9747028345016746E-2</v>
      </c>
      <c r="T831" s="97"/>
    </row>
    <row r="832" spans="1:20" ht="18" customHeight="1">
      <c r="A832" s="103"/>
      <c r="B832" s="104"/>
      <c r="C832" s="104"/>
      <c r="D832" s="104"/>
      <c r="E832" s="92"/>
      <c r="F832" s="104"/>
      <c r="G832" s="92"/>
      <c r="H832" s="90">
        <v>2111101</v>
      </c>
      <c r="I832" s="90" t="s">
        <v>469</v>
      </c>
      <c r="J832" s="143">
        <v>5577</v>
      </c>
      <c r="K832" s="143"/>
      <c r="L832" s="87">
        <v>8784</v>
      </c>
      <c r="M832" s="92" t="str">
        <f t="shared" si="26"/>
        <v/>
      </c>
      <c r="N832" s="104">
        <v>5894</v>
      </c>
      <c r="O832" s="92">
        <f t="shared" si="27"/>
        <v>0.49032914828639296</v>
      </c>
      <c r="T832" s="97"/>
    </row>
    <row r="833" spans="1:20" ht="18" customHeight="1">
      <c r="A833" s="103"/>
      <c r="B833" s="104"/>
      <c r="C833" s="104"/>
      <c r="D833" s="104"/>
      <c r="E833" s="92"/>
      <c r="F833" s="104"/>
      <c r="G833" s="92"/>
      <c r="H833" s="90">
        <v>2111102</v>
      </c>
      <c r="I833" s="90" t="s">
        <v>470</v>
      </c>
      <c r="J833" s="143">
        <v>3287</v>
      </c>
      <c r="K833" s="143"/>
      <c r="L833" s="87">
        <v>3723</v>
      </c>
      <c r="M833" s="92" t="str">
        <f t="shared" si="26"/>
        <v/>
      </c>
      <c r="N833" s="104">
        <v>3244</v>
      </c>
      <c r="O833" s="92">
        <f t="shared" si="27"/>
        <v>0.14765721331689274</v>
      </c>
      <c r="T833" s="97"/>
    </row>
    <row r="834" spans="1:20" ht="18" customHeight="1">
      <c r="A834" s="103"/>
      <c r="B834" s="104"/>
      <c r="C834" s="104"/>
      <c r="D834" s="104"/>
      <c r="E834" s="92"/>
      <c r="F834" s="104"/>
      <c r="G834" s="92"/>
      <c r="H834" s="90">
        <v>2111103</v>
      </c>
      <c r="I834" s="90" t="s">
        <v>471</v>
      </c>
      <c r="J834" s="143">
        <v>2381</v>
      </c>
      <c r="K834" s="143"/>
      <c r="L834" s="87">
        <v>248</v>
      </c>
      <c r="M834" s="92" t="str">
        <f t="shared" si="26"/>
        <v/>
      </c>
      <c r="N834" s="104">
        <v>1017</v>
      </c>
      <c r="O834" s="92">
        <f t="shared" si="27"/>
        <v>-0.75614552605703045</v>
      </c>
      <c r="T834" s="97"/>
    </row>
    <row r="835" spans="1:20" ht="18" customHeight="1">
      <c r="A835" s="103"/>
      <c r="B835" s="104"/>
      <c r="C835" s="104"/>
      <c r="D835" s="104"/>
      <c r="E835" s="92"/>
      <c r="F835" s="104"/>
      <c r="G835" s="92"/>
      <c r="H835" s="90">
        <v>2111104</v>
      </c>
      <c r="I835" s="90" t="s">
        <v>472</v>
      </c>
      <c r="J835" s="143">
        <v>4000</v>
      </c>
      <c r="K835" s="143"/>
      <c r="L835" s="87">
        <v>3430</v>
      </c>
      <c r="M835" s="92" t="str">
        <f t="shared" si="26"/>
        <v/>
      </c>
      <c r="N835" s="104">
        <v>4364</v>
      </c>
      <c r="O835" s="92">
        <f t="shared" si="27"/>
        <v>-0.21402383134738767</v>
      </c>
      <c r="T835" s="97"/>
    </row>
    <row r="836" spans="1:20" ht="18" customHeight="1">
      <c r="A836" s="103"/>
      <c r="B836" s="104"/>
      <c r="C836" s="104"/>
      <c r="D836" s="104"/>
      <c r="E836" s="92"/>
      <c r="F836" s="104"/>
      <c r="G836" s="92"/>
      <c r="H836" s="90">
        <v>2111199</v>
      </c>
      <c r="I836" s="90" t="s">
        <v>473</v>
      </c>
      <c r="J836" s="143">
        <v>576</v>
      </c>
      <c r="K836" s="143"/>
      <c r="L836" s="87">
        <v>708</v>
      </c>
      <c r="M836" s="92" t="str">
        <f t="shared" si="26"/>
        <v/>
      </c>
      <c r="N836" s="104">
        <v>1886</v>
      </c>
      <c r="O836" s="92">
        <f t="shared" si="27"/>
        <v>-0.62460233297985157</v>
      </c>
      <c r="T836" s="97"/>
    </row>
    <row r="837" spans="1:20" ht="18" customHeight="1">
      <c r="A837" s="103"/>
      <c r="B837" s="104"/>
      <c r="C837" s="104"/>
      <c r="D837" s="104"/>
      <c r="E837" s="92"/>
      <c r="F837" s="104"/>
      <c r="G837" s="92"/>
      <c r="H837" s="90">
        <v>21112</v>
      </c>
      <c r="I837" s="80" t="s">
        <v>474</v>
      </c>
      <c r="J837" s="143">
        <v>342201</v>
      </c>
      <c r="K837" s="647">
        <v>162478</v>
      </c>
      <c r="L837" s="87">
        <v>129554</v>
      </c>
      <c r="M837" s="92">
        <f t="shared" si="26"/>
        <v>0.79736333534386195</v>
      </c>
      <c r="N837" s="104">
        <v>121856</v>
      </c>
      <c r="O837" s="92">
        <f t="shared" si="27"/>
        <v>6.3172925420168058E-2</v>
      </c>
      <c r="T837" s="97"/>
    </row>
    <row r="838" spans="1:20" ht="18" customHeight="1">
      <c r="A838" s="103"/>
      <c r="B838" s="104"/>
      <c r="C838" s="104"/>
      <c r="D838" s="104"/>
      <c r="E838" s="92"/>
      <c r="F838" s="104"/>
      <c r="G838" s="92"/>
      <c r="H838" s="90">
        <v>2111201</v>
      </c>
      <c r="I838" s="90" t="s">
        <v>475</v>
      </c>
      <c r="J838" s="143">
        <v>342201</v>
      </c>
      <c r="K838" s="143"/>
      <c r="L838" s="87">
        <v>129554</v>
      </c>
      <c r="M838" s="92" t="str">
        <f t="shared" ref="M838:M901" si="28">+IF(ISERROR(L838/K838),"",L838/K838)</f>
        <v/>
      </c>
      <c r="N838" s="104">
        <v>121856</v>
      </c>
      <c r="O838" s="92">
        <f t="shared" si="27"/>
        <v>6.3172925420168058E-2</v>
      </c>
      <c r="T838" s="97"/>
    </row>
    <row r="839" spans="1:20" ht="18" customHeight="1">
      <c r="A839" s="103"/>
      <c r="B839" s="104"/>
      <c r="C839" s="104"/>
      <c r="D839" s="104"/>
      <c r="E839" s="92"/>
      <c r="F839" s="104"/>
      <c r="G839" s="92"/>
      <c r="H839" s="90">
        <v>21113</v>
      </c>
      <c r="I839" s="80" t="s">
        <v>476</v>
      </c>
      <c r="J839" s="104"/>
      <c r="K839" s="104"/>
      <c r="L839" s="87"/>
      <c r="M839" s="92" t="str">
        <f t="shared" si="28"/>
        <v/>
      </c>
      <c r="N839" s="104">
        <v>0</v>
      </c>
      <c r="O839" s="92" t="str">
        <f t="shared" ref="O839:O902" si="29">IF(ISERROR(L839/N839-1),"",(L839/N839-1))</f>
        <v/>
      </c>
      <c r="T839" s="97"/>
    </row>
    <row r="840" spans="1:20" ht="18" customHeight="1">
      <c r="A840" s="103"/>
      <c r="B840" s="104"/>
      <c r="C840" s="104"/>
      <c r="D840" s="104"/>
      <c r="E840" s="92"/>
      <c r="F840" s="104"/>
      <c r="G840" s="92"/>
      <c r="H840" s="90">
        <v>2111301</v>
      </c>
      <c r="I840" s="90" t="s">
        <v>477</v>
      </c>
      <c r="J840" s="104"/>
      <c r="K840" s="104"/>
      <c r="L840" s="87"/>
      <c r="M840" s="92" t="str">
        <f t="shared" si="28"/>
        <v/>
      </c>
      <c r="N840" s="104">
        <v>0</v>
      </c>
      <c r="O840" s="92" t="str">
        <f t="shared" si="29"/>
        <v/>
      </c>
      <c r="T840" s="97"/>
    </row>
    <row r="841" spans="1:20" ht="18" customHeight="1">
      <c r="A841" s="103"/>
      <c r="B841" s="104"/>
      <c r="C841" s="104"/>
      <c r="D841" s="104"/>
      <c r="E841" s="92"/>
      <c r="F841" s="104"/>
      <c r="G841" s="92"/>
      <c r="H841" s="90"/>
      <c r="I841" s="80" t="s">
        <v>2133</v>
      </c>
      <c r="J841" s="104"/>
      <c r="K841" s="104"/>
      <c r="L841" s="87"/>
      <c r="M841" s="92" t="str">
        <f t="shared" si="28"/>
        <v/>
      </c>
      <c r="N841" s="104"/>
      <c r="O841" s="92" t="str">
        <f t="shared" si="29"/>
        <v/>
      </c>
      <c r="T841" s="97"/>
    </row>
    <row r="842" spans="1:20" ht="18" customHeight="1">
      <c r="A842" s="103"/>
      <c r="B842" s="104"/>
      <c r="C842" s="104"/>
      <c r="D842" s="104"/>
      <c r="E842" s="92"/>
      <c r="F842" s="104"/>
      <c r="G842" s="92"/>
      <c r="H842" s="90"/>
      <c r="I842" s="90" t="s">
        <v>2132</v>
      </c>
      <c r="J842" s="104"/>
      <c r="K842" s="104"/>
      <c r="L842" s="87"/>
      <c r="M842" s="92" t="str">
        <f t="shared" si="28"/>
        <v/>
      </c>
      <c r="N842" s="104"/>
      <c r="O842" s="92" t="str">
        <f t="shared" si="29"/>
        <v/>
      </c>
      <c r="T842" s="97"/>
    </row>
    <row r="843" spans="1:20" ht="18" customHeight="1">
      <c r="A843" s="103"/>
      <c r="B843" s="104"/>
      <c r="C843" s="104"/>
      <c r="D843" s="104"/>
      <c r="E843" s="92"/>
      <c r="F843" s="104"/>
      <c r="G843" s="92"/>
      <c r="H843" s="90">
        <v>21114</v>
      </c>
      <c r="I843" s="80" t="s">
        <v>478</v>
      </c>
      <c r="J843" s="104"/>
      <c r="K843" s="104"/>
      <c r="L843" s="104"/>
      <c r="M843" s="92" t="str">
        <f t="shared" si="28"/>
        <v/>
      </c>
      <c r="N843" s="104">
        <v>0</v>
      </c>
      <c r="O843" s="92" t="str">
        <f t="shared" si="29"/>
        <v/>
      </c>
      <c r="T843" s="97"/>
    </row>
    <row r="844" spans="1:20" ht="18" customHeight="1">
      <c r="A844" s="103"/>
      <c r="B844" s="104"/>
      <c r="C844" s="104"/>
      <c r="D844" s="104"/>
      <c r="E844" s="92"/>
      <c r="F844" s="104"/>
      <c r="G844" s="92"/>
      <c r="H844" s="90">
        <v>2111401</v>
      </c>
      <c r="I844" s="90" t="s">
        <v>1110</v>
      </c>
      <c r="J844" s="104"/>
      <c r="K844" s="104"/>
      <c r="L844" s="104"/>
      <c r="M844" s="92" t="str">
        <f t="shared" si="28"/>
        <v/>
      </c>
      <c r="N844" s="104">
        <v>0</v>
      </c>
      <c r="O844" s="92" t="str">
        <f t="shared" si="29"/>
        <v/>
      </c>
      <c r="T844" s="97"/>
    </row>
    <row r="845" spans="1:20" ht="18" customHeight="1">
      <c r="A845" s="103"/>
      <c r="B845" s="104"/>
      <c r="C845" s="104"/>
      <c r="D845" s="104"/>
      <c r="E845" s="92"/>
      <c r="F845" s="104"/>
      <c r="G845" s="92"/>
      <c r="H845" s="90">
        <v>2111402</v>
      </c>
      <c r="I845" s="90" t="s">
        <v>1111</v>
      </c>
      <c r="J845" s="104"/>
      <c r="K845" s="104"/>
      <c r="L845" s="104"/>
      <c r="M845" s="92" t="str">
        <f t="shared" si="28"/>
        <v/>
      </c>
      <c r="N845" s="104">
        <v>0</v>
      </c>
      <c r="O845" s="92" t="str">
        <f t="shared" si="29"/>
        <v/>
      </c>
      <c r="T845" s="97"/>
    </row>
    <row r="846" spans="1:20" ht="18" customHeight="1">
      <c r="A846" s="103"/>
      <c r="B846" s="104"/>
      <c r="C846" s="104"/>
      <c r="D846" s="104"/>
      <c r="E846" s="92"/>
      <c r="F846" s="104"/>
      <c r="G846" s="92"/>
      <c r="H846" s="90">
        <v>2111403</v>
      </c>
      <c r="I846" s="90" t="s">
        <v>1112</v>
      </c>
      <c r="J846" s="104"/>
      <c r="K846" s="104"/>
      <c r="L846" s="104"/>
      <c r="M846" s="92" t="str">
        <f t="shared" si="28"/>
        <v/>
      </c>
      <c r="N846" s="104">
        <v>0</v>
      </c>
      <c r="O846" s="92" t="str">
        <f t="shared" si="29"/>
        <v/>
      </c>
      <c r="T846" s="97"/>
    </row>
    <row r="847" spans="1:20" ht="18" customHeight="1">
      <c r="A847" s="103"/>
      <c r="B847" s="104"/>
      <c r="C847" s="104"/>
      <c r="D847" s="104"/>
      <c r="E847" s="92"/>
      <c r="F847" s="104"/>
      <c r="G847" s="92"/>
      <c r="H847" s="90">
        <v>2111404</v>
      </c>
      <c r="I847" s="90" t="s">
        <v>479</v>
      </c>
      <c r="J847" s="104"/>
      <c r="K847" s="104"/>
      <c r="L847" s="104"/>
      <c r="M847" s="92" t="str">
        <f t="shared" si="28"/>
        <v/>
      </c>
      <c r="N847" s="104">
        <v>0</v>
      </c>
      <c r="O847" s="92" t="str">
        <f t="shared" si="29"/>
        <v/>
      </c>
      <c r="T847" s="97"/>
    </row>
    <row r="848" spans="1:20" ht="18" customHeight="1">
      <c r="A848" s="103"/>
      <c r="B848" s="104"/>
      <c r="C848" s="104"/>
      <c r="D848" s="104"/>
      <c r="E848" s="92"/>
      <c r="F848" s="104"/>
      <c r="G848" s="92"/>
      <c r="H848" s="90">
        <v>2111405</v>
      </c>
      <c r="I848" s="90" t="s">
        <v>480</v>
      </c>
      <c r="J848" s="104"/>
      <c r="K848" s="104"/>
      <c r="L848" s="104"/>
      <c r="M848" s="92" t="str">
        <f t="shared" si="28"/>
        <v/>
      </c>
      <c r="N848" s="104">
        <v>0</v>
      </c>
      <c r="O848" s="92" t="str">
        <f t="shared" si="29"/>
        <v/>
      </c>
      <c r="T848" s="97"/>
    </row>
    <row r="849" spans="1:21" ht="18" customHeight="1">
      <c r="A849" s="103"/>
      <c r="B849" s="104"/>
      <c r="C849" s="104"/>
      <c r="D849" s="104"/>
      <c r="E849" s="92"/>
      <c r="F849" s="104"/>
      <c r="G849" s="92"/>
      <c r="H849" s="90">
        <v>2111406</v>
      </c>
      <c r="I849" s="90" t="s">
        <v>481</v>
      </c>
      <c r="J849" s="104"/>
      <c r="K849" s="104"/>
      <c r="L849" s="104"/>
      <c r="M849" s="92" t="str">
        <f t="shared" si="28"/>
        <v/>
      </c>
      <c r="N849" s="104">
        <v>0</v>
      </c>
      <c r="O849" s="92" t="str">
        <f t="shared" si="29"/>
        <v/>
      </c>
      <c r="T849" s="97"/>
    </row>
    <row r="850" spans="1:21" ht="18" customHeight="1">
      <c r="A850" s="103"/>
      <c r="B850" s="104"/>
      <c r="C850" s="104"/>
      <c r="D850" s="104"/>
      <c r="E850" s="92"/>
      <c r="F850" s="104"/>
      <c r="G850" s="92"/>
      <c r="H850" s="90">
        <v>2111407</v>
      </c>
      <c r="I850" s="90" t="s">
        <v>482</v>
      </c>
      <c r="J850" s="104"/>
      <c r="K850" s="104"/>
      <c r="L850" s="104"/>
      <c r="M850" s="92" t="str">
        <f t="shared" si="28"/>
        <v/>
      </c>
      <c r="N850" s="104">
        <v>0</v>
      </c>
      <c r="O850" s="92" t="str">
        <f t="shared" si="29"/>
        <v/>
      </c>
      <c r="T850" s="97"/>
    </row>
    <row r="851" spans="1:21" ht="18" customHeight="1">
      <c r="A851" s="103"/>
      <c r="B851" s="104"/>
      <c r="C851" s="104"/>
      <c r="D851" s="104"/>
      <c r="E851" s="92"/>
      <c r="F851" s="104"/>
      <c r="G851" s="92"/>
      <c r="H851" s="90">
        <v>2111408</v>
      </c>
      <c r="I851" s="90" t="s">
        <v>483</v>
      </c>
      <c r="J851" s="104"/>
      <c r="K851" s="104"/>
      <c r="L851" s="104"/>
      <c r="M851" s="92" t="str">
        <f t="shared" si="28"/>
        <v/>
      </c>
      <c r="N851" s="104">
        <v>0</v>
      </c>
      <c r="O851" s="92" t="str">
        <f t="shared" si="29"/>
        <v/>
      </c>
      <c r="T851" s="97"/>
    </row>
    <row r="852" spans="1:21" ht="18" customHeight="1">
      <c r="A852" s="103"/>
      <c r="B852" s="104"/>
      <c r="C852" s="104"/>
      <c r="D852" s="104"/>
      <c r="E852" s="92"/>
      <c r="F852" s="104"/>
      <c r="G852" s="92"/>
      <c r="H852" s="90">
        <v>2111409</v>
      </c>
      <c r="I852" s="90" t="s">
        <v>484</v>
      </c>
      <c r="J852" s="104"/>
      <c r="K852" s="104"/>
      <c r="L852" s="104"/>
      <c r="M852" s="92" t="str">
        <f t="shared" si="28"/>
        <v/>
      </c>
      <c r="N852" s="104">
        <v>0</v>
      </c>
      <c r="O852" s="92" t="str">
        <f t="shared" si="29"/>
        <v/>
      </c>
      <c r="T852" s="97"/>
    </row>
    <row r="853" spans="1:21" ht="18" customHeight="1">
      <c r="A853" s="103"/>
      <c r="B853" s="104"/>
      <c r="C853" s="104"/>
      <c r="D853" s="104"/>
      <c r="E853" s="92"/>
      <c r="F853" s="104"/>
      <c r="G853" s="92"/>
      <c r="H853" s="90">
        <v>2111410</v>
      </c>
      <c r="I853" s="90" t="s">
        <v>485</v>
      </c>
      <c r="J853" s="104"/>
      <c r="K853" s="104"/>
      <c r="L853" s="104"/>
      <c r="M853" s="92" t="str">
        <f t="shared" si="28"/>
        <v/>
      </c>
      <c r="N853" s="104">
        <v>0</v>
      </c>
      <c r="O853" s="92" t="str">
        <f t="shared" si="29"/>
        <v/>
      </c>
      <c r="T853" s="97"/>
    </row>
    <row r="854" spans="1:21" ht="18" customHeight="1">
      <c r="A854" s="103"/>
      <c r="B854" s="104"/>
      <c r="C854" s="104"/>
      <c r="D854" s="104"/>
      <c r="E854" s="92"/>
      <c r="F854" s="104"/>
      <c r="G854" s="92"/>
      <c r="H854" s="90">
        <v>2111411</v>
      </c>
      <c r="I854" s="90" t="s">
        <v>1152</v>
      </c>
      <c r="J854" s="104"/>
      <c r="K854" s="104"/>
      <c r="L854" s="104"/>
      <c r="M854" s="92" t="str">
        <f t="shared" si="28"/>
        <v/>
      </c>
      <c r="N854" s="104">
        <v>0</v>
      </c>
      <c r="O854" s="92" t="str">
        <f t="shared" si="29"/>
        <v/>
      </c>
      <c r="T854" s="97"/>
    </row>
    <row r="855" spans="1:21" ht="18" customHeight="1">
      <c r="A855" s="103"/>
      <c r="B855" s="104"/>
      <c r="C855" s="104"/>
      <c r="D855" s="104"/>
      <c r="E855" s="92"/>
      <c r="F855" s="104"/>
      <c r="G855" s="92"/>
      <c r="H855" s="90">
        <v>2111412</v>
      </c>
      <c r="I855" s="90" t="s">
        <v>486</v>
      </c>
      <c r="J855" s="104"/>
      <c r="K855" s="104"/>
      <c r="L855" s="104"/>
      <c r="M855" s="92" t="str">
        <f t="shared" si="28"/>
        <v/>
      </c>
      <c r="N855" s="104">
        <v>0</v>
      </c>
      <c r="O855" s="92" t="str">
        <f t="shared" si="29"/>
        <v/>
      </c>
      <c r="T855" s="97"/>
    </row>
    <row r="856" spans="1:21" ht="18" customHeight="1">
      <c r="A856" s="103"/>
      <c r="B856" s="104"/>
      <c r="C856" s="104"/>
      <c r="D856" s="104"/>
      <c r="E856" s="92"/>
      <c r="F856" s="104"/>
      <c r="G856" s="92"/>
      <c r="H856" s="90">
        <v>2111413</v>
      </c>
      <c r="I856" s="90" t="s">
        <v>487</v>
      </c>
      <c r="J856" s="104"/>
      <c r="K856" s="104"/>
      <c r="L856" s="104"/>
      <c r="M856" s="92" t="str">
        <f t="shared" si="28"/>
        <v/>
      </c>
      <c r="N856" s="104">
        <v>0</v>
      </c>
      <c r="O856" s="92" t="str">
        <f t="shared" si="29"/>
        <v/>
      </c>
      <c r="T856" s="97"/>
    </row>
    <row r="857" spans="1:21" ht="18" customHeight="1">
      <c r="A857" s="103"/>
      <c r="B857" s="104"/>
      <c r="C857" s="104"/>
      <c r="D857" s="104"/>
      <c r="E857" s="92"/>
      <c r="F857" s="104"/>
      <c r="G857" s="92"/>
      <c r="H857" s="90">
        <v>2111450</v>
      </c>
      <c r="I857" s="90" t="s">
        <v>1119</v>
      </c>
      <c r="J857" s="104"/>
      <c r="K857" s="104"/>
      <c r="L857" s="104"/>
      <c r="M857" s="92" t="str">
        <f t="shared" si="28"/>
        <v/>
      </c>
      <c r="N857" s="104">
        <v>0</v>
      </c>
      <c r="O857" s="92" t="str">
        <f t="shared" si="29"/>
        <v/>
      </c>
      <c r="T857" s="97"/>
    </row>
    <row r="858" spans="1:21" ht="18" customHeight="1">
      <c r="A858" s="103"/>
      <c r="B858" s="104"/>
      <c r="C858" s="104"/>
      <c r="D858" s="104"/>
      <c r="E858" s="92"/>
      <c r="F858" s="104"/>
      <c r="G858" s="92"/>
      <c r="H858" s="90">
        <v>2111499</v>
      </c>
      <c r="I858" s="90" t="s">
        <v>488</v>
      </c>
      <c r="J858" s="104"/>
      <c r="K858" s="104"/>
      <c r="L858" s="104"/>
      <c r="M858" s="92" t="str">
        <f t="shared" si="28"/>
        <v/>
      </c>
      <c r="N858" s="104">
        <v>0</v>
      </c>
      <c r="O858" s="92" t="str">
        <f t="shared" si="29"/>
        <v/>
      </c>
      <c r="T858" s="97"/>
    </row>
    <row r="859" spans="1:21" ht="18" customHeight="1">
      <c r="A859" s="103"/>
      <c r="B859" s="104"/>
      <c r="C859" s="104"/>
      <c r="D859" s="104"/>
      <c r="E859" s="92"/>
      <c r="F859" s="104"/>
      <c r="G859" s="92"/>
      <c r="H859" s="90">
        <v>21199</v>
      </c>
      <c r="I859" s="80" t="s">
        <v>489</v>
      </c>
      <c r="J859" s="143">
        <f>-500000+523712</f>
        <v>23712</v>
      </c>
      <c r="K859" s="647">
        <v>442106</v>
      </c>
      <c r="L859" s="87">
        <v>421106</v>
      </c>
      <c r="M859" s="92">
        <f t="shared" si="28"/>
        <v>0.95250007916653467</v>
      </c>
      <c r="N859" s="104">
        <v>711836</v>
      </c>
      <c r="O859" s="92">
        <f t="shared" si="29"/>
        <v>-0.40842272658308931</v>
      </c>
      <c r="T859" s="97"/>
    </row>
    <row r="860" spans="1:21" ht="18" customHeight="1">
      <c r="A860" s="103"/>
      <c r="B860" s="104"/>
      <c r="C860" s="104"/>
      <c r="D860" s="104"/>
      <c r="E860" s="92"/>
      <c r="F860" s="104"/>
      <c r="G860" s="92"/>
      <c r="H860" s="90">
        <v>2119901</v>
      </c>
      <c r="I860" s="90" t="s">
        <v>490</v>
      </c>
      <c r="J860" s="143">
        <f>-500000+523712</f>
        <v>23712</v>
      </c>
      <c r="K860" s="647">
        <v>442106</v>
      </c>
      <c r="L860" s="87">
        <v>421106</v>
      </c>
      <c r="M860" s="92">
        <f t="shared" si="28"/>
        <v>0.95250007916653467</v>
      </c>
      <c r="N860" s="104">
        <v>711836</v>
      </c>
      <c r="O860" s="92">
        <f t="shared" si="29"/>
        <v>-0.40842272658308931</v>
      </c>
      <c r="T860" s="97"/>
    </row>
    <row r="861" spans="1:21" s="112" customFormat="1" ht="18" customHeight="1">
      <c r="A861" s="111"/>
      <c r="B861" s="109"/>
      <c r="C861" s="109"/>
      <c r="D861" s="109"/>
      <c r="E861" s="82"/>
      <c r="F861" s="109"/>
      <c r="G861" s="82"/>
      <c r="H861" s="80">
        <v>212</v>
      </c>
      <c r="I861" s="80" t="s">
        <v>491</v>
      </c>
      <c r="J861" s="110">
        <f>-500000+2819269</f>
        <v>2319269</v>
      </c>
      <c r="K861" s="656">
        <v>1697004</v>
      </c>
      <c r="L861" s="77">
        <v>1697004</v>
      </c>
      <c r="M861" s="82">
        <f t="shared" si="28"/>
        <v>1</v>
      </c>
      <c r="N861" s="109">
        <v>927399</v>
      </c>
      <c r="O861" s="82">
        <f t="shared" si="29"/>
        <v>0.82985316999479197</v>
      </c>
      <c r="P861" s="84"/>
      <c r="T861" s="96"/>
    </row>
    <row r="862" spans="1:21" ht="18" customHeight="1">
      <c r="A862" s="103"/>
      <c r="B862" s="104"/>
      <c r="C862" s="104"/>
      <c r="D862" s="104"/>
      <c r="E862" s="92"/>
      <c r="F862" s="104"/>
      <c r="G862" s="92"/>
      <c r="H862" s="90">
        <v>21201</v>
      </c>
      <c r="I862" s="80" t="s">
        <v>492</v>
      </c>
      <c r="J862" s="143">
        <v>27977</v>
      </c>
      <c r="K862" s="647">
        <v>103324</v>
      </c>
      <c r="L862" s="87">
        <v>103324</v>
      </c>
      <c r="M862" s="92">
        <f t="shared" si="28"/>
        <v>1</v>
      </c>
      <c r="N862" s="104">
        <v>25081</v>
      </c>
      <c r="O862" s="92">
        <f t="shared" si="29"/>
        <v>3.1196124556437139</v>
      </c>
      <c r="T862" s="96" t="s">
        <v>1066</v>
      </c>
      <c r="U862" s="63">
        <v>901712</v>
      </c>
    </row>
    <row r="863" spans="1:21" ht="18" customHeight="1">
      <c r="A863" s="103"/>
      <c r="B863" s="104"/>
      <c r="C863" s="104"/>
      <c r="D863" s="104"/>
      <c r="E863" s="92"/>
      <c r="F863" s="104"/>
      <c r="G863" s="92"/>
      <c r="H863" s="90">
        <v>2120101</v>
      </c>
      <c r="I863" s="90" t="s">
        <v>1110</v>
      </c>
      <c r="J863" s="143">
        <v>8764</v>
      </c>
      <c r="K863" s="143"/>
      <c r="L863" s="87">
        <v>11461</v>
      </c>
      <c r="M863" s="92" t="str">
        <f t="shared" si="28"/>
        <v/>
      </c>
      <c r="N863" s="104">
        <v>7560</v>
      </c>
      <c r="O863" s="92">
        <f t="shared" si="29"/>
        <v>0.51600529100529102</v>
      </c>
      <c r="T863" s="97" t="s">
        <v>492</v>
      </c>
      <c r="U863" s="63">
        <v>26747</v>
      </c>
    </row>
    <row r="864" spans="1:21" ht="18" customHeight="1">
      <c r="A864" s="103"/>
      <c r="B864" s="104"/>
      <c r="C864" s="104"/>
      <c r="D864" s="104"/>
      <c r="E864" s="92"/>
      <c r="F864" s="104"/>
      <c r="G864" s="92"/>
      <c r="H864" s="90">
        <v>2120102</v>
      </c>
      <c r="I864" s="90" t="s">
        <v>1111</v>
      </c>
      <c r="J864" s="143">
        <v>1229</v>
      </c>
      <c r="K864" s="143"/>
      <c r="L864" s="87">
        <v>1220</v>
      </c>
      <c r="M864" s="92" t="str">
        <f t="shared" si="28"/>
        <v/>
      </c>
      <c r="N864" s="104">
        <v>1091</v>
      </c>
      <c r="O864" s="92">
        <f t="shared" si="29"/>
        <v>0.11824014665444538</v>
      </c>
      <c r="T864" s="97" t="s">
        <v>1035</v>
      </c>
      <c r="U864" s="63">
        <v>5918</v>
      </c>
    </row>
    <row r="865" spans="1:21" ht="18" customHeight="1">
      <c r="A865" s="103"/>
      <c r="B865" s="104"/>
      <c r="C865" s="104"/>
      <c r="D865" s="104"/>
      <c r="E865" s="92"/>
      <c r="F865" s="104"/>
      <c r="G865" s="92"/>
      <c r="H865" s="90">
        <v>2120103</v>
      </c>
      <c r="I865" s="90" t="s">
        <v>1112</v>
      </c>
      <c r="J865" s="143">
        <v>0</v>
      </c>
      <c r="K865" s="143"/>
      <c r="L865" s="87">
        <v>0</v>
      </c>
      <c r="M865" s="92" t="str">
        <f t="shared" si="28"/>
        <v/>
      </c>
      <c r="N865" s="104">
        <v>0</v>
      </c>
      <c r="O865" s="92" t="str">
        <f t="shared" si="29"/>
        <v/>
      </c>
      <c r="T865" s="97" t="s">
        <v>503</v>
      </c>
      <c r="U865" s="63">
        <v>24097</v>
      </c>
    </row>
    <row r="866" spans="1:21" ht="18" customHeight="1">
      <c r="A866" s="103"/>
      <c r="B866" s="104"/>
      <c r="C866" s="104"/>
      <c r="D866" s="104"/>
      <c r="E866" s="92"/>
      <c r="F866" s="104"/>
      <c r="G866" s="92"/>
      <c r="H866" s="90">
        <v>2120104</v>
      </c>
      <c r="I866" s="90" t="s">
        <v>493</v>
      </c>
      <c r="J866" s="143">
        <v>3182</v>
      </c>
      <c r="K866" s="143"/>
      <c r="L866" s="87">
        <v>3881</v>
      </c>
      <c r="M866" s="92" t="str">
        <f t="shared" si="28"/>
        <v/>
      </c>
      <c r="N866" s="104">
        <v>3531</v>
      </c>
      <c r="O866" s="92">
        <f t="shared" si="29"/>
        <v>9.912206173888416E-2</v>
      </c>
      <c r="T866" s="97" t="s">
        <v>1036</v>
      </c>
      <c r="U866" s="63">
        <v>101302</v>
      </c>
    </row>
    <row r="867" spans="1:21" ht="18" customHeight="1">
      <c r="A867" s="103"/>
      <c r="B867" s="104"/>
      <c r="C867" s="104"/>
      <c r="D867" s="104"/>
      <c r="E867" s="92"/>
      <c r="F867" s="104"/>
      <c r="G867" s="92"/>
      <c r="H867" s="90">
        <v>2120105</v>
      </c>
      <c r="I867" s="90" t="s">
        <v>494</v>
      </c>
      <c r="J867" s="143">
        <v>1319</v>
      </c>
      <c r="K867" s="143"/>
      <c r="L867" s="87">
        <v>155</v>
      </c>
      <c r="M867" s="92" t="str">
        <f t="shared" si="28"/>
        <v/>
      </c>
      <c r="N867" s="104">
        <v>456</v>
      </c>
      <c r="O867" s="92">
        <f t="shared" si="29"/>
        <v>-0.66008771929824561</v>
      </c>
      <c r="T867" s="97" t="s">
        <v>1037</v>
      </c>
      <c r="U867" s="63">
        <v>5837</v>
      </c>
    </row>
    <row r="868" spans="1:21" ht="18" customHeight="1">
      <c r="A868" s="103"/>
      <c r="B868" s="104"/>
      <c r="C868" s="104"/>
      <c r="D868" s="104"/>
      <c r="E868" s="92"/>
      <c r="F868" s="104"/>
      <c r="G868" s="92"/>
      <c r="H868" s="90">
        <v>2120106</v>
      </c>
      <c r="I868" s="90" t="s">
        <v>495</v>
      </c>
      <c r="J868" s="143">
        <v>596</v>
      </c>
      <c r="K868" s="143"/>
      <c r="L868" s="87">
        <v>518</v>
      </c>
      <c r="M868" s="92" t="str">
        <f t="shared" si="28"/>
        <v/>
      </c>
      <c r="N868" s="104">
        <v>594</v>
      </c>
      <c r="O868" s="92">
        <f t="shared" si="29"/>
        <v>-0.12794612794612792</v>
      </c>
      <c r="T868" s="97" t="s">
        <v>1067</v>
      </c>
      <c r="U868" s="63">
        <v>737811</v>
      </c>
    </row>
    <row r="869" spans="1:21" ht="18" customHeight="1">
      <c r="A869" s="103"/>
      <c r="B869" s="104"/>
      <c r="C869" s="104"/>
      <c r="D869" s="104"/>
      <c r="E869" s="92"/>
      <c r="F869" s="104"/>
      <c r="G869" s="92"/>
      <c r="H869" s="90">
        <v>2120107</v>
      </c>
      <c r="I869" s="90" t="s">
        <v>496</v>
      </c>
      <c r="J869" s="143">
        <v>141</v>
      </c>
      <c r="K869" s="143"/>
      <c r="L869" s="87">
        <v>72953</v>
      </c>
      <c r="M869" s="92" t="str">
        <f t="shared" si="28"/>
        <v/>
      </c>
      <c r="N869" s="104">
        <v>443</v>
      </c>
      <c r="O869" s="92">
        <f t="shared" si="29"/>
        <v>163.67945823927766</v>
      </c>
      <c r="T869" s="116"/>
    </row>
    <row r="870" spans="1:21" ht="18" customHeight="1">
      <c r="A870" s="103"/>
      <c r="B870" s="104"/>
      <c r="C870" s="104"/>
      <c r="D870" s="104"/>
      <c r="E870" s="92"/>
      <c r="F870" s="104"/>
      <c r="G870" s="92"/>
      <c r="H870" s="90">
        <v>2120108</v>
      </c>
      <c r="I870" s="90" t="s">
        <v>497</v>
      </c>
      <c r="J870" s="143">
        <v>3099</v>
      </c>
      <c r="K870" s="143"/>
      <c r="L870" s="87">
        <v>3672</v>
      </c>
      <c r="M870" s="92" t="str">
        <f t="shared" si="28"/>
        <v/>
      </c>
      <c r="N870" s="104">
        <v>3301</v>
      </c>
      <c r="O870" s="92">
        <f t="shared" si="29"/>
        <v>0.11239018479248708</v>
      </c>
      <c r="T870" s="116"/>
    </row>
    <row r="871" spans="1:21" ht="18" customHeight="1">
      <c r="A871" s="103"/>
      <c r="B871" s="104"/>
      <c r="C871" s="104"/>
      <c r="D871" s="104"/>
      <c r="E871" s="92"/>
      <c r="F871" s="104"/>
      <c r="G871" s="92"/>
      <c r="H871" s="90">
        <v>2120109</v>
      </c>
      <c r="I871" s="90" t="s">
        <v>498</v>
      </c>
      <c r="J871" s="143">
        <v>991</v>
      </c>
      <c r="K871" s="143"/>
      <c r="L871" s="87">
        <v>891</v>
      </c>
      <c r="M871" s="92" t="str">
        <f t="shared" si="28"/>
        <v/>
      </c>
      <c r="N871" s="104">
        <v>1051</v>
      </c>
      <c r="O871" s="92">
        <f t="shared" si="29"/>
        <v>-0.15223596574690768</v>
      </c>
      <c r="T871" s="116"/>
    </row>
    <row r="872" spans="1:21" ht="18" customHeight="1">
      <c r="A872" s="103"/>
      <c r="B872" s="104"/>
      <c r="C872" s="104"/>
      <c r="D872" s="104"/>
      <c r="E872" s="92"/>
      <c r="F872" s="104"/>
      <c r="G872" s="92"/>
      <c r="H872" s="90">
        <v>2120110</v>
      </c>
      <c r="I872" s="90" t="s">
        <v>499</v>
      </c>
      <c r="J872" s="143">
        <v>0</v>
      </c>
      <c r="K872" s="143"/>
      <c r="L872" s="87">
        <v>0</v>
      </c>
      <c r="M872" s="92" t="str">
        <f t="shared" si="28"/>
        <v/>
      </c>
      <c r="N872" s="104">
        <v>0</v>
      </c>
      <c r="O872" s="92" t="str">
        <f t="shared" si="29"/>
        <v/>
      </c>
      <c r="T872" s="116"/>
    </row>
    <row r="873" spans="1:21" ht="18" customHeight="1">
      <c r="A873" s="103"/>
      <c r="B873" s="104"/>
      <c r="C873" s="104"/>
      <c r="D873" s="104"/>
      <c r="E873" s="92"/>
      <c r="F873" s="104"/>
      <c r="G873" s="92"/>
      <c r="H873" s="90">
        <v>2120199</v>
      </c>
      <c r="I873" s="90" t="s">
        <v>500</v>
      </c>
      <c r="J873" s="143">
        <v>8656</v>
      </c>
      <c r="K873" s="143"/>
      <c r="L873" s="87">
        <v>8573</v>
      </c>
      <c r="M873" s="92" t="str">
        <f t="shared" si="28"/>
        <v/>
      </c>
      <c r="N873" s="104">
        <v>7054</v>
      </c>
      <c r="O873" s="92">
        <f t="shared" si="29"/>
        <v>0.21533881485681872</v>
      </c>
      <c r="T873" s="116"/>
    </row>
    <row r="874" spans="1:21" ht="18" customHeight="1">
      <c r="A874" s="103"/>
      <c r="B874" s="104"/>
      <c r="C874" s="104"/>
      <c r="D874" s="104"/>
      <c r="E874" s="92"/>
      <c r="F874" s="104"/>
      <c r="G874" s="92"/>
      <c r="H874" s="90">
        <v>21202</v>
      </c>
      <c r="I874" s="80" t="s">
        <v>501</v>
      </c>
      <c r="J874" s="143">
        <v>5983</v>
      </c>
      <c r="K874" s="647">
        <v>5563</v>
      </c>
      <c r="L874" s="87">
        <v>5563</v>
      </c>
      <c r="M874" s="92">
        <f t="shared" si="28"/>
        <v>1</v>
      </c>
      <c r="N874" s="104">
        <v>4998</v>
      </c>
      <c r="O874" s="92">
        <f t="shared" si="29"/>
        <v>0.113045218087235</v>
      </c>
      <c r="T874" s="116"/>
    </row>
    <row r="875" spans="1:21" ht="18" customHeight="1">
      <c r="A875" s="103"/>
      <c r="B875" s="104"/>
      <c r="C875" s="104"/>
      <c r="D875" s="104"/>
      <c r="E875" s="92"/>
      <c r="F875" s="104"/>
      <c r="G875" s="92"/>
      <c r="H875" s="90">
        <v>2120201</v>
      </c>
      <c r="I875" s="90" t="s">
        <v>502</v>
      </c>
      <c r="J875" s="143">
        <v>5983</v>
      </c>
      <c r="K875" s="143"/>
      <c r="L875" s="87">
        <v>5563</v>
      </c>
      <c r="M875" s="92" t="str">
        <f t="shared" si="28"/>
        <v/>
      </c>
      <c r="N875" s="104">
        <v>4998</v>
      </c>
      <c r="O875" s="92">
        <f t="shared" si="29"/>
        <v>0.113045218087235</v>
      </c>
      <c r="T875" s="116"/>
    </row>
    <row r="876" spans="1:21" ht="18" customHeight="1">
      <c r="A876" s="103"/>
      <c r="B876" s="104"/>
      <c r="C876" s="104"/>
      <c r="D876" s="104"/>
      <c r="E876" s="92"/>
      <c r="F876" s="104"/>
      <c r="G876" s="92"/>
      <c r="H876" s="90">
        <v>21203</v>
      </c>
      <c r="I876" s="80" t="s">
        <v>503</v>
      </c>
      <c r="J876" s="108">
        <v>2107337</v>
      </c>
      <c r="K876" s="647">
        <v>1412738</v>
      </c>
      <c r="L876" s="87">
        <v>1412738</v>
      </c>
      <c r="M876" s="92">
        <f t="shared" si="28"/>
        <v>1</v>
      </c>
      <c r="N876" s="104">
        <v>15072</v>
      </c>
      <c r="O876" s="92">
        <f t="shared" si="29"/>
        <v>92.732616772823775</v>
      </c>
      <c r="T876" s="116"/>
    </row>
    <row r="877" spans="1:21" ht="18" customHeight="1">
      <c r="A877" s="103"/>
      <c r="B877" s="104"/>
      <c r="C877" s="104"/>
      <c r="D877" s="104"/>
      <c r="E877" s="92"/>
      <c r="F877" s="104"/>
      <c r="G877" s="92"/>
      <c r="H877" s="90">
        <v>2120303</v>
      </c>
      <c r="I877" s="90" t="s">
        <v>504</v>
      </c>
      <c r="J877" s="143">
        <v>1000</v>
      </c>
      <c r="K877" s="143"/>
      <c r="L877" s="87">
        <v>0</v>
      </c>
      <c r="M877" s="92" t="str">
        <f t="shared" si="28"/>
        <v/>
      </c>
      <c r="N877" s="104">
        <v>0</v>
      </c>
      <c r="O877" s="92" t="str">
        <f t="shared" si="29"/>
        <v/>
      </c>
      <c r="T877" s="116"/>
    </row>
    <row r="878" spans="1:21" ht="18" customHeight="1">
      <c r="A878" s="103"/>
      <c r="B878" s="104"/>
      <c r="C878" s="104"/>
      <c r="D878" s="104"/>
      <c r="E878" s="92"/>
      <c r="F878" s="104"/>
      <c r="G878" s="92"/>
      <c r="H878" s="90">
        <v>2120399</v>
      </c>
      <c r="I878" s="90" t="s">
        <v>505</v>
      </c>
      <c r="J878" s="143">
        <v>2106337</v>
      </c>
      <c r="K878" s="143"/>
      <c r="L878" s="87">
        <v>1412738</v>
      </c>
      <c r="M878" s="92" t="str">
        <f t="shared" si="28"/>
        <v/>
      </c>
      <c r="N878" s="104">
        <v>15072</v>
      </c>
      <c r="O878" s="92">
        <f t="shared" si="29"/>
        <v>92.732616772823775</v>
      </c>
      <c r="T878" s="116"/>
    </row>
    <row r="879" spans="1:21" ht="18" customHeight="1">
      <c r="A879" s="103"/>
      <c r="B879" s="104"/>
      <c r="C879" s="104"/>
      <c r="D879" s="104"/>
      <c r="E879" s="92"/>
      <c r="F879" s="104"/>
      <c r="G879" s="92"/>
      <c r="H879" s="90">
        <v>21205</v>
      </c>
      <c r="I879" s="80" t="s">
        <v>506</v>
      </c>
      <c r="J879" s="143">
        <v>120266</v>
      </c>
      <c r="K879" s="647">
        <v>117873</v>
      </c>
      <c r="L879" s="87">
        <v>117873</v>
      </c>
      <c r="M879" s="92">
        <f t="shared" si="28"/>
        <v>1</v>
      </c>
      <c r="N879" s="104">
        <v>100358</v>
      </c>
      <c r="O879" s="92">
        <f t="shared" si="29"/>
        <v>0.17452519978477055</v>
      </c>
      <c r="T879" s="116"/>
    </row>
    <row r="880" spans="1:21" ht="18" customHeight="1">
      <c r="A880" s="103"/>
      <c r="B880" s="104"/>
      <c r="C880" s="104"/>
      <c r="D880" s="104"/>
      <c r="E880" s="92"/>
      <c r="F880" s="104"/>
      <c r="G880" s="92"/>
      <c r="H880" s="90">
        <v>2120501</v>
      </c>
      <c r="I880" s="90" t="s">
        <v>507</v>
      </c>
      <c r="J880" s="143">
        <v>120266</v>
      </c>
      <c r="K880" s="647">
        <v>117873</v>
      </c>
      <c r="L880" s="87">
        <v>117873</v>
      </c>
      <c r="M880" s="92">
        <f t="shared" si="28"/>
        <v>1</v>
      </c>
      <c r="N880" s="104">
        <v>100358</v>
      </c>
      <c r="O880" s="92">
        <f t="shared" si="29"/>
        <v>0.17452519978477055</v>
      </c>
      <c r="T880" s="116"/>
    </row>
    <row r="881" spans="1:21" ht="18" customHeight="1">
      <c r="A881" s="103"/>
      <c r="B881" s="104"/>
      <c r="C881" s="104"/>
      <c r="D881" s="104"/>
      <c r="E881" s="92"/>
      <c r="F881" s="104"/>
      <c r="G881" s="92"/>
      <c r="H881" s="90">
        <v>21206</v>
      </c>
      <c r="I881" s="80" t="s">
        <v>508</v>
      </c>
      <c r="J881" s="143">
        <v>6360</v>
      </c>
      <c r="K881" s="647">
        <v>5442</v>
      </c>
      <c r="L881" s="87">
        <v>5442</v>
      </c>
      <c r="M881" s="92">
        <f t="shared" si="28"/>
        <v>1</v>
      </c>
      <c r="N881" s="104">
        <v>2373</v>
      </c>
      <c r="O881" s="92">
        <f t="shared" si="29"/>
        <v>1.293299620733249</v>
      </c>
      <c r="T881" s="116"/>
    </row>
    <row r="882" spans="1:21" ht="18" customHeight="1">
      <c r="A882" s="103"/>
      <c r="B882" s="104"/>
      <c r="C882" s="104"/>
      <c r="D882" s="104"/>
      <c r="E882" s="92"/>
      <c r="F882" s="104"/>
      <c r="G882" s="92"/>
      <c r="H882" s="90">
        <v>2120601</v>
      </c>
      <c r="I882" s="90" t="s">
        <v>509</v>
      </c>
      <c r="J882" s="143">
        <v>6360</v>
      </c>
      <c r="K882" s="647">
        <v>5442</v>
      </c>
      <c r="L882" s="87">
        <v>5442</v>
      </c>
      <c r="M882" s="92">
        <f t="shared" si="28"/>
        <v>1</v>
      </c>
      <c r="N882" s="104">
        <v>2373</v>
      </c>
      <c r="O882" s="92">
        <f t="shared" si="29"/>
        <v>1.293299620733249</v>
      </c>
      <c r="T882" s="116"/>
    </row>
    <row r="883" spans="1:21" ht="18" customHeight="1">
      <c r="A883" s="103"/>
      <c r="B883" s="104"/>
      <c r="C883" s="104"/>
      <c r="D883" s="104"/>
      <c r="E883" s="92"/>
      <c r="F883" s="104"/>
      <c r="G883" s="92"/>
      <c r="H883" s="90">
        <v>21299</v>
      </c>
      <c r="I883" s="80" t="s">
        <v>510</v>
      </c>
      <c r="J883" s="143">
        <f>-500000+551346</f>
        <v>51346</v>
      </c>
      <c r="K883" s="647">
        <v>52064</v>
      </c>
      <c r="L883" s="87">
        <v>52064</v>
      </c>
      <c r="M883" s="92">
        <f t="shared" si="28"/>
        <v>1</v>
      </c>
      <c r="N883" s="104">
        <v>779517</v>
      </c>
      <c r="O883" s="92">
        <f t="shared" si="29"/>
        <v>-0.93320992358088406</v>
      </c>
      <c r="T883" s="116"/>
    </row>
    <row r="884" spans="1:21" ht="18" customHeight="1">
      <c r="A884" s="103"/>
      <c r="B884" s="104"/>
      <c r="C884" s="104"/>
      <c r="D884" s="104"/>
      <c r="E884" s="92"/>
      <c r="F884" s="104"/>
      <c r="G884" s="92"/>
      <c r="H884" s="90">
        <v>2129999</v>
      </c>
      <c r="I884" s="90" t="s">
        <v>511</v>
      </c>
      <c r="J884" s="143">
        <f>-500000+551346</f>
        <v>51346</v>
      </c>
      <c r="K884" s="647">
        <v>52064</v>
      </c>
      <c r="L884" s="87">
        <v>52064</v>
      </c>
      <c r="M884" s="92">
        <f t="shared" si="28"/>
        <v>1</v>
      </c>
      <c r="N884" s="104">
        <v>779517</v>
      </c>
      <c r="O884" s="92">
        <f t="shared" si="29"/>
        <v>-0.93320992358088406</v>
      </c>
      <c r="T884" s="116"/>
    </row>
    <row r="885" spans="1:21" s="112" customFormat="1" ht="18" customHeight="1">
      <c r="A885" s="111"/>
      <c r="B885" s="109"/>
      <c r="C885" s="109"/>
      <c r="D885" s="109"/>
      <c r="E885" s="82"/>
      <c r="F885" s="109"/>
      <c r="G885" s="82"/>
      <c r="H885" s="80">
        <v>213</v>
      </c>
      <c r="I885" s="80" t="s">
        <v>512</v>
      </c>
      <c r="J885" s="110">
        <f>-500000+1047268</f>
        <v>547268</v>
      </c>
      <c r="K885" s="656">
        <v>329249</v>
      </c>
      <c r="L885" s="77">
        <v>312450</v>
      </c>
      <c r="M885" s="82">
        <f t="shared" si="28"/>
        <v>0.94897782529331909</v>
      </c>
      <c r="N885" s="109">
        <v>420701</v>
      </c>
      <c r="O885" s="82">
        <f t="shared" si="29"/>
        <v>-0.25731101185877858</v>
      </c>
      <c r="P885" s="84"/>
      <c r="T885" s="117"/>
    </row>
    <row r="886" spans="1:21" ht="18" customHeight="1">
      <c r="A886" s="103"/>
      <c r="B886" s="104"/>
      <c r="C886" s="104"/>
      <c r="D886" s="104"/>
      <c r="E886" s="92"/>
      <c r="F886" s="104"/>
      <c r="G886" s="92"/>
      <c r="H886" s="90">
        <v>21301</v>
      </c>
      <c r="I886" s="80" t="s">
        <v>513</v>
      </c>
      <c r="J886" s="143">
        <v>29175</v>
      </c>
      <c r="K886" s="647">
        <v>31303</v>
      </c>
      <c r="L886" s="87">
        <v>29009</v>
      </c>
      <c r="M886" s="92">
        <f t="shared" si="28"/>
        <v>0.92671628917356164</v>
      </c>
      <c r="N886" s="104">
        <v>31075</v>
      </c>
      <c r="O886" s="92">
        <f t="shared" si="29"/>
        <v>-6.6484312148028968E-2</v>
      </c>
      <c r="T886" s="117" t="s">
        <v>1068</v>
      </c>
      <c r="U886" s="63">
        <v>398392</v>
      </c>
    </row>
    <row r="887" spans="1:21" ht="18" customHeight="1">
      <c r="A887" s="103"/>
      <c r="B887" s="104"/>
      <c r="C887" s="104"/>
      <c r="D887" s="104"/>
      <c r="E887" s="92"/>
      <c r="F887" s="104"/>
      <c r="G887" s="92"/>
      <c r="H887" s="90">
        <v>2130101</v>
      </c>
      <c r="I887" s="90" t="s">
        <v>1110</v>
      </c>
      <c r="J887" s="143">
        <v>1358</v>
      </c>
      <c r="K887" s="143"/>
      <c r="L887" s="87">
        <v>1453</v>
      </c>
      <c r="M887" s="92" t="str">
        <f t="shared" si="28"/>
        <v/>
      </c>
      <c r="N887" s="104">
        <v>1182</v>
      </c>
      <c r="O887" s="92">
        <f t="shared" si="29"/>
        <v>0.22927241962774958</v>
      </c>
      <c r="T887" s="97" t="s">
        <v>513</v>
      </c>
      <c r="U887" s="63">
        <v>19589</v>
      </c>
    </row>
    <row r="888" spans="1:21" ht="18" customHeight="1">
      <c r="A888" s="103"/>
      <c r="B888" s="104"/>
      <c r="C888" s="104"/>
      <c r="D888" s="104"/>
      <c r="E888" s="92"/>
      <c r="F888" s="104"/>
      <c r="G888" s="92"/>
      <c r="H888" s="90">
        <v>2130102</v>
      </c>
      <c r="I888" s="90" t="s">
        <v>1111</v>
      </c>
      <c r="J888" s="143">
        <v>253</v>
      </c>
      <c r="K888" s="143"/>
      <c r="L888" s="87">
        <v>198</v>
      </c>
      <c r="M888" s="92" t="str">
        <f t="shared" si="28"/>
        <v/>
      </c>
      <c r="N888" s="104">
        <v>225</v>
      </c>
      <c r="O888" s="92">
        <f t="shared" si="29"/>
        <v>-0.12</v>
      </c>
      <c r="T888" s="118" t="s">
        <v>538</v>
      </c>
      <c r="U888" s="63">
        <v>5789</v>
      </c>
    </row>
    <row r="889" spans="1:21" ht="18" customHeight="1">
      <c r="A889" s="103"/>
      <c r="B889" s="104"/>
      <c r="C889" s="104"/>
      <c r="D889" s="104"/>
      <c r="E889" s="92"/>
      <c r="F889" s="104"/>
      <c r="G889" s="92"/>
      <c r="H889" s="90">
        <v>2130103</v>
      </c>
      <c r="I889" s="90" t="s">
        <v>1112</v>
      </c>
      <c r="J889" s="143">
        <v>0</v>
      </c>
      <c r="K889" s="143"/>
      <c r="L889" s="87">
        <v>0</v>
      </c>
      <c r="M889" s="92" t="str">
        <f t="shared" si="28"/>
        <v/>
      </c>
      <c r="N889" s="104">
        <v>0</v>
      </c>
      <c r="O889" s="92" t="str">
        <f t="shared" si="29"/>
        <v/>
      </c>
      <c r="T889" s="97" t="s">
        <v>564</v>
      </c>
      <c r="U889" s="63">
        <v>363691</v>
      </c>
    </row>
    <row r="890" spans="1:21" ht="18" customHeight="1">
      <c r="A890" s="103"/>
      <c r="B890" s="104"/>
      <c r="C890" s="104"/>
      <c r="D890" s="104"/>
      <c r="E890" s="92"/>
      <c r="F890" s="104"/>
      <c r="G890" s="92"/>
      <c r="H890" s="90">
        <v>2130104</v>
      </c>
      <c r="I890" s="90" t="s">
        <v>1119</v>
      </c>
      <c r="J890" s="143">
        <v>1515</v>
      </c>
      <c r="K890" s="143"/>
      <c r="L890" s="87">
        <v>1913</v>
      </c>
      <c r="M890" s="92" t="str">
        <f t="shared" si="28"/>
        <v/>
      </c>
      <c r="N890" s="104">
        <v>2851</v>
      </c>
      <c r="O890" s="92">
        <f t="shared" si="29"/>
        <v>-0.32900736583654855</v>
      </c>
      <c r="T890" s="97" t="s">
        <v>1039</v>
      </c>
      <c r="U890" s="63">
        <v>0</v>
      </c>
    </row>
    <row r="891" spans="1:21" ht="18" customHeight="1">
      <c r="A891" s="103"/>
      <c r="B891" s="104"/>
      <c r="C891" s="104"/>
      <c r="D891" s="104"/>
      <c r="E891" s="92"/>
      <c r="F891" s="104"/>
      <c r="G891" s="92"/>
      <c r="H891" s="90">
        <v>2130105</v>
      </c>
      <c r="I891" s="90" t="s">
        <v>514</v>
      </c>
      <c r="J891" s="143">
        <v>0</v>
      </c>
      <c r="K891" s="143"/>
      <c r="L891" s="87">
        <v>0</v>
      </c>
      <c r="M891" s="92" t="str">
        <f t="shared" si="28"/>
        <v/>
      </c>
      <c r="N891" s="104">
        <v>0</v>
      </c>
      <c r="O891" s="92" t="str">
        <f t="shared" si="29"/>
        <v/>
      </c>
      <c r="T891" s="97" t="s">
        <v>587</v>
      </c>
      <c r="U891" s="63">
        <v>0</v>
      </c>
    </row>
    <row r="892" spans="1:21" ht="18" customHeight="1">
      <c r="A892" s="103"/>
      <c r="B892" s="104"/>
      <c r="C892" s="104"/>
      <c r="D892" s="104"/>
      <c r="E892" s="92"/>
      <c r="F892" s="104"/>
      <c r="G892" s="92"/>
      <c r="H892" s="90">
        <v>2130106</v>
      </c>
      <c r="I892" s="90" t="s">
        <v>515</v>
      </c>
      <c r="J892" s="143">
        <v>643</v>
      </c>
      <c r="K892" s="143"/>
      <c r="L892" s="87">
        <v>674</v>
      </c>
      <c r="M892" s="92" t="str">
        <f t="shared" si="28"/>
        <v/>
      </c>
      <c r="N892" s="104">
        <v>604</v>
      </c>
      <c r="O892" s="92">
        <f t="shared" si="29"/>
        <v>0.11589403973509937</v>
      </c>
      <c r="T892" s="97" t="s">
        <v>595</v>
      </c>
      <c r="U892" s="63">
        <v>0</v>
      </c>
    </row>
    <row r="893" spans="1:21" ht="18" customHeight="1">
      <c r="A893" s="103"/>
      <c r="B893" s="104"/>
      <c r="C893" s="104"/>
      <c r="D893" s="104"/>
      <c r="E893" s="92"/>
      <c r="F893" s="104"/>
      <c r="G893" s="92"/>
      <c r="H893" s="90">
        <v>2130108</v>
      </c>
      <c r="I893" s="90" t="s">
        <v>516</v>
      </c>
      <c r="J893" s="143">
        <v>2970</v>
      </c>
      <c r="K893" s="143"/>
      <c r="L893" s="87">
        <v>2347</v>
      </c>
      <c r="M893" s="92" t="str">
        <f t="shared" si="28"/>
        <v/>
      </c>
      <c r="N893" s="104">
        <v>1473</v>
      </c>
      <c r="O893" s="92">
        <f t="shared" si="29"/>
        <v>0.59334691106585202</v>
      </c>
      <c r="T893" s="97" t="s">
        <v>603</v>
      </c>
      <c r="U893" s="63">
        <v>0</v>
      </c>
    </row>
    <row r="894" spans="1:21" ht="18" customHeight="1">
      <c r="A894" s="103"/>
      <c r="B894" s="104"/>
      <c r="C894" s="104"/>
      <c r="D894" s="104"/>
      <c r="E894" s="92"/>
      <c r="F894" s="104"/>
      <c r="G894" s="92"/>
      <c r="H894" s="90">
        <v>2130109</v>
      </c>
      <c r="I894" s="90" t="s">
        <v>517</v>
      </c>
      <c r="J894" s="143">
        <v>480</v>
      </c>
      <c r="K894" s="143"/>
      <c r="L894" s="87">
        <v>945</v>
      </c>
      <c r="M894" s="92" t="str">
        <f t="shared" si="28"/>
        <v/>
      </c>
      <c r="N894" s="104">
        <v>4459</v>
      </c>
      <c r="O894" s="92">
        <f t="shared" si="29"/>
        <v>-0.78806907378335955</v>
      </c>
      <c r="T894" s="97" t="s">
        <v>608</v>
      </c>
      <c r="U894" s="63">
        <v>0</v>
      </c>
    </row>
    <row r="895" spans="1:21" ht="18" customHeight="1">
      <c r="A895" s="103"/>
      <c r="B895" s="104"/>
      <c r="C895" s="104"/>
      <c r="D895" s="104"/>
      <c r="E895" s="92"/>
      <c r="F895" s="104"/>
      <c r="G895" s="92"/>
      <c r="H895" s="90">
        <v>2130110</v>
      </c>
      <c r="I895" s="90" t="s">
        <v>518</v>
      </c>
      <c r="J895" s="143">
        <v>199</v>
      </c>
      <c r="K895" s="143"/>
      <c r="L895" s="87">
        <v>120</v>
      </c>
      <c r="M895" s="92" t="str">
        <f t="shared" si="28"/>
        <v/>
      </c>
      <c r="N895" s="104">
        <v>119</v>
      </c>
      <c r="O895" s="92">
        <f t="shared" si="29"/>
        <v>8.4033613445377853E-3</v>
      </c>
      <c r="T895" s="97" t="s">
        <v>1069</v>
      </c>
      <c r="U895" s="63">
        <v>0</v>
      </c>
    </row>
    <row r="896" spans="1:21" ht="18" customHeight="1">
      <c r="A896" s="103"/>
      <c r="B896" s="104"/>
      <c r="C896" s="104"/>
      <c r="D896" s="104"/>
      <c r="E896" s="92"/>
      <c r="F896" s="104"/>
      <c r="G896" s="92"/>
      <c r="H896" s="90">
        <v>2130111</v>
      </c>
      <c r="I896" s="90" t="s">
        <v>519</v>
      </c>
      <c r="J896" s="143">
        <v>134</v>
      </c>
      <c r="K896" s="143"/>
      <c r="L896" s="87">
        <v>114</v>
      </c>
      <c r="M896" s="92" t="str">
        <f t="shared" si="28"/>
        <v/>
      </c>
      <c r="N896" s="104">
        <v>127</v>
      </c>
      <c r="O896" s="92">
        <f t="shared" si="29"/>
        <v>-0.10236220472440949</v>
      </c>
      <c r="T896" s="97" t="s">
        <v>1070</v>
      </c>
      <c r="U896" s="63">
        <v>9323</v>
      </c>
    </row>
    <row r="897" spans="1:20" ht="18" customHeight="1">
      <c r="A897" s="103"/>
      <c r="B897" s="104"/>
      <c r="C897" s="104"/>
      <c r="D897" s="104"/>
      <c r="E897" s="92"/>
      <c r="F897" s="104"/>
      <c r="G897" s="92"/>
      <c r="H897" s="90">
        <v>2130112</v>
      </c>
      <c r="I897" s="90" t="s">
        <v>520</v>
      </c>
      <c r="J897" s="143">
        <v>202</v>
      </c>
      <c r="K897" s="143"/>
      <c r="L897" s="87">
        <v>216</v>
      </c>
      <c r="M897" s="92" t="str">
        <f t="shared" si="28"/>
        <v/>
      </c>
      <c r="N897" s="104">
        <v>224</v>
      </c>
      <c r="O897" s="92">
        <f t="shared" si="29"/>
        <v>-3.5714285714285698E-2</v>
      </c>
      <c r="T897" s="97"/>
    </row>
    <row r="898" spans="1:20" ht="18" customHeight="1">
      <c r="A898" s="103"/>
      <c r="B898" s="104"/>
      <c r="C898" s="104"/>
      <c r="D898" s="104"/>
      <c r="E898" s="92"/>
      <c r="F898" s="104"/>
      <c r="G898" s="92"/>
      <c r="H898" s="90">
        <v>2130114</v>
      </c>
      <c r="I898" s="90" t="s">
        <v>521</v>
      </c>
      <c r="J898" s="143">
        <v>0</v>
      </c>
      <c r="K898" s="143"/>
      <c r="L898" s="87">
        <v>0</v>
      </c>
      <c r="M898" s="92" t="str">
        <f t="shared" si="28"/>
        <v/>
      </c>
      <c r="N898" s="104">
        <v>0</v>
      </c>
      <c r="O898" s="92" t="str">
        <f t="shared" si="29"/>
        <v/>
      </c>
      <c r="T898" s="97"/>
    </row>
    <row r="899" spans="1:20" ht="18" customHeight="1">
      <c r="A899" s="103"/>
      <c r="B899" s="104"/>
      <c r="C899" s="104"/>
      <c r="D899" s="104"/>
      <c r="E899" s="92"/>
      <c r="F899" s="104"/>
      <c r="G899" s="92"/>
      <c r="H899" s="90">
        <v>2130119</v>
      </c>
      <c r="I899" s="90" t="s">
        <v>522</v>
      </c>
      <c r="J899" s="143">
        <v>0</v>
      </c>
      <c r="K899" s="143"/>
      <c r="L899" s="87">
        <v>0</v>
      </c>
      <c r="M899" s="92" t="str">
        <f t="shared" si="28"/>
        <v/>
      </c>
      <c r="N899" s="104">
        <v>0</v>
      </c>
      <c r="O899" s="92" t="str">
        <f t="shared" si="29"/>
        <v/>
      </c>
      <c r="T899" s="97"/>
    </row>
    <row r="900" spans="1:20" ht="18" customHeight="1">
      <c r="A900" s="103"/>
      <c r="B900" s="104"/>
      <c r="C900" s="104"/>
      <c r="D900" s="104"/>
      <c r="E900" s="92"/>
      <c r="F900" s="104"/>
      <c r="G900" s="92"/>
      <c r="H900" s="90">
        <v>2130120</v>
      </c>
      <c r="I900" s="90" t="s">
        <v>523</v>
      </c>
      <c r="J900" s="143">
        <v>45</v>
      </c>
      <c r="K900" s="143"/>
      <c r="L900" s="87">
        <v>8</v>
      </c>
      <c r="M900" s="92" t="str">
        <f t="shared" si="28"/>
        <v/>
      </c>
      <c r="N900" s="104">
        <v>0</v>
      </c>
      <c r="O900" s="92" t="str">
        <f t="shared" si="29"/>
        <v/>
      </c>
      <c r="T900" s="97"/>
    </row>
    <row r="901" spans="1:20" ht="18" customHeight="1">
      <c r="A901" s="103"/>
      <c r="B901" s="104"/>
      <c r="C901" s="104"/>
      <c r="D901" s="104"/>
      <c r="E901" s="92"/>
      <c r="F901" s="104"/>
      <c r="G901" s="92"/>
      <c r="H901" s="90">
        <v>2130121</v>
      </c>
      <c r="I901" s="90" t="s">
        <v>524</v>
      </c>
      <c r="J901" s="143">
        <v>0</v>
      </c>
      <c r="K901" s="143"/>
      <c r="L901" s="87">
        <v>0</v>
      </c>
      <c r="M901" s="92" t="str">
        <f t="shared" si="28"/>
        <v/>
      </c>
      <c r="N901" s="104">
        <v>0</v>
      </c>
      <c r="O901" s="92" t="str">
        <f t="shared" si="29"/>
        <v/>
      </c>
      <c r="T901" s="97"/>
    </row>
    <row r="902" spans="1:20" ht="18" customHeight="1">
      <c r="A902" s="103"/>
      <c r="B902" s="104"/>
      <c r="C902" s="104"/>
      <c r="D902" s="104"/>
      <c r="E902" s="92"/>
      <c r="F902" s="104"/>
      <c r="G902" s="92"/>
      <c r="H902" s="90">
        <v>2130122</v>
      </c>
      <c r="I902" s="90" t="s">
        <v>525</v>
      </c>
      <c r="J902" s="143">
        <v>0</v>
      </c>
      <c r="K902" s="143"/>
      <c r="L902" s="87">
        <v>0</v>
      </c>
      <c r="M902" s="92" t="str">
        <f t="shared" ref="M902:M965" si="30">+IF(ISERROR(L902/K902),"",L902/K902)</f>
        <v/>
      </c>
      <c r="N902" s="104">
        <v>13</v>
      </c>
      <c r="O902" s="92">
        <f t="shared" si="29"/>
        <v>-1</v>
      </c>
      <c r="T902" s="97"/>
    </row>
    <row r="903" spans="1:20" ht="18" customHeight="1">
      <c r="A903" s="103"/>
      <c r="B903" s="104"/>
      <c r="C903" s="104"/>
      <c r="D903" s="104"/>
      <c r="E903" s="92"/>
      <c r="F903" s="104"/>
      <c r="G903" s="92"/>
      <c r="H903" s="90">
        <v>2130123</v>
      </c>
      <c r="I903" s="90" t="s">
        <v>526</v>
      </c>
      <c r="J903" s="143">
        <v>0</v>
      </c>
      <c r="K903" s="143"/>
      <c r="L903" s="87">
        <v>0</v>
      </c>
      <c r="M903" s="92" t="str">
        <f t="shared" si="30"/>
        <v/>
      </c>
      <c r="N903" s="104">
        <v>0</v>
      </c>
      <c r="O903" s="92" t="str">
        <f t="shared" ref="O903:O966" si="31">IF(ISERROR(L903/N903-1),"",(L903/N903-1))</f>
        <v/>
      </c>
      <c r="T903" s="97"/>
    </row>
    <row r="904" spans="1:20" ht="18" customHeight="1">
      <c r="A904" s="103"/>
      <c r="B904" s="104"/>
      <c r="C904" s="104"/>
      <c r="D904" s="104"/>
      <c r="E904" s="92"/>
      <c r="F904" s="104"/>
      <c r="G904" s="92"/>
      <c r="H904" s="90">
        <v>2130124</v>
      </c>
      <c r="I904" s="90" t="s">
        <v>527</v>
      </c>
      <c r="J904" s="143">
        <v>342</v>
      </c>
      <c r="K904" s="143"/>
      <c r="L904" s="87">
        <v>332</v>
      </c>
      <c r="M904" s="92" t="str">
        <f t="shared" si="30"/>
        <v/>
      </c>
      <c r="N904" s="104">
        <v>420</v>
      </c>
      <c r="O904" s="92">
        <f t="shared" si="31"/>
        <v>-0.20952380952380956</v>
      </c>
      <c r="T904" s="97"/>
    </row>
    <row r="905" spans="1:20" ht="18" customHeight="1">
      <c r="A905" s="103"/>
      <c r="B905" s="104"/>
      <c r="C905" s="104"/>
      <c r="D905" s="104"/>
      <c r="E905" s="92"/>
      <c r="F905" s="104"/>
      <c r="G905" s="92"/>
      <c r="H905" s="90">
        <v>2130125</v>
      </c>
      <c r="I905" s="90" t="s">
        <v>528</v>
      </c>
      <c r="J905" s="143">
        <v>0</v>
      </c>
      <c r="K905" s="143"/>
      <c r="L905" s="87">
        <v>0</v>
      </c>
      <c r="M905" s="92" t="str">
        <f t="shared" si="30"/>
        <v/>
      </c>
      <c r="N905" s="104">
        <v>0</v>
      </c>
      <c r="O905" s="92" t="str">
        <f t="shared" si="31"/>
        <v/>
      </c>
      <c r="T905" s="97"/>
    </row>
    <row r="906" spans="1:20" ht="18" customHeight="1">
      <c r="A906" s="103"/>
      <c r="B906" s="104"/>
      <c r="C906" s="104"/>
      <c r="D906" s="104"/>
      <c r="E906" s="92"/>
      <c r="F906" s="104"/>
      <c r="G906" s="92"/>
      <c r="H906" s="90">
        <v>2130126</v>
      </c>
      <c r="I906" s="90" t="s">
        <v>529</v>
      </c>
      <c r="J906" s="143">
        <v>0</v>
      </c>
      <c r="K906" s="143"/>
      <c r="L906" s="87">
        <v>0</v>
      </c>
      <c r="M906" s="92" t="str">
        <f t="shared" si="30"/>
        <v/>
      </c>
      <c r="N906" s="104">
        <v>0</v>
      </c>
      <c r="O906" s="92" t="str">
        <f t="shared" si="31"/>
        <v/>
      </c>
      <c r="T906" s="97"/>
    </row>
    <row r="907" spans="1:20" ht="18" customHeight="1">
      <c r="A907" s="103"/>
      <c r="B907" s="104"/>
      <c r="C907" s="104"/>
      <c r="D907" s="104"/>
      <c r="E907" s="92"/>
      <c r="F907" s="104"/>
      <c r="G907" s="92"/>
      <c r="H907" s="90">
        <v>2130129</v>
      </c>
      <c r="I907" s="90" t="s">
        <v>530</v>
      </c>
      <c r="J907" s="143">
        <v>0</v>
      </c>
      <c r="K907" s="143"/>
      <c r="L907" s="87">
        <v>0</v>
      </c>
      <c r="M907" s="92" t="str">
        <f t="shared" si="30"/>
        <v/>
      </c>
      <c r="N907" s="104">
        <v>0</v>
      </c>
      <c r="O907" s="92" t="str">
        <f t="shared" si="31"/>
        <v/>
      </c>
      <c r="T907" s="97"/>
    </row>
    <row r="908" spans="1:20" ht="18" customHeight="1">
      <c r="A908" s="103"/>
      <c r="B908" s="104"/>
      <c r="C908" s="104"/>
      <c r="D908" s="104"/>
      <c r="E908" s="92"/>
      <c r="F908" s="104"/>
      <c r="G908" s="92"/>
      <c r="H908" s="90">
        <v>2130135</v>
      </c>
      <c r="I908" s="90" t="s">
        <v>531</v>
      </c>
      <c r="J908" s="143">
        <v>128</v>
      </c>
      <c r="K908" s="143"/>
      <c r="L908" s="87">
        <v>126</v>
      </c>
      <c r="M908" s="92" t="str">
        <f t="shared" si="30"/>
        <v/>
      </c>
      <c r="N908" s="104">
        <v>198</v>
      </c>
      <c r="O908" s="92">
        <f t="shared" si="31"/>
        <v>-0.36363636363636365</v>
      </c>
      <c r="T908" s="97"/>
    </row>
    <row r="909" spans="1:20" ht="18" customHeight="1">
      <c r="A909" s="103"/>
      <c r="B909" s="104"/>
      <c r="C909" s="104"/>
      <c r="D909" s="104"/>
      <c r="E909" s="92"/>
      <c r="F909" s="104"/>
      <c r="G909" s="92"/>
      <c r="H909" s="90">
        <v>2130142</v>
      </c>
      <c r="I909" s="90" t="s">
        <v>532</v>
      </c>
      <c r="J909" s="143">
        <v>0</v>
      </c>
      <c r="K909" s="143"/>
      <c r="L909" s="87">
        <v>0</v>
      </c>
      <c r="M909" s="92" t="str">
        <f t="shared" si="30"/>
        <v/>
      </c>
      <c r="N909" s="104">
        <v>0</v>
      </c>
      <c r="O909" s="92" t="str">
        <f t="shared" si="31"/>
        <v/>
      </c>
      <c r="T909" s="97"/>
    </row>
    <row r="910" spans="1:20" ht="18" customHeight="1">
      <c r="A910" s="103"/>
      <c r="B910" s="104"/>
      <c r="C910" s="104"/>
      <c r="D910" s="104"/>
      <c r="E910" s="92"/>
      <c r="F910" s="104"/>
      <c r="G910" s="92"/>
      <c r="H910" s="90">
        <v>2130147</v>
      </c>
      <c r="I910" s="90" t="s">
        <v>533</v>
      </c>
      <c r="J910" s="143">
        <v>0</v>
      </c>
      <c r="K910" s="143"/>
      <c r="L910" s="87">
        <v>0</v>
      </c>
      <c r="M910" s="92" t="str">
        <f t="shared" si="30"/>
        <v/>
      </c>
      <c r="N910" s="104">
        <v>0</v>
      </c>
      <c r="O910" s="92" t="str">
        <f t="shared" si="31"/>
        <v/>
      </c>
      <c r="T910" s="97"/>
    </row>
    <row r="911" spans="1:20" ht="18" customHeight="1">
      <c r="A911" s="103"/>
      <c r="B911" s="104"/>
      <c r="C911" s="104"/>
      <c r="D911" s="104"/>
      <c r="E911" s="92"/>
      <c r="F911" s="104"/>
      <c r="G911" s="92"/>
      <c r="H911" s="90">
        <v>2130148</v>
      </c>
      <c r="I911" s="90" t="s">
        <v>534</v>
      </c>
      <c r="J911" s="143">
        <v>11320</v>
      </c>
      <c r="K911" s="143"/>
      <c r="L911" s="87">
        <v>13081</v>
      </c>
      <c r="M911" s="92" t="str">
        <f t="shared" si="30"/>
        <v/>
      </c>
      <c r="N911" s="104">
        <v>8616</v>
      </c>
      <c r="O911" s="92">
        <f t="shared" si="31"/>
        <v>0.51822191272051987</v>
      </c>
      <c r="T911" s="97"/>
    </row>
    <row r="912" spans="1:20" ht="18" customHeight="1">
      <c r="A912" s="103"/>
      <c r="B912" s="104"/>
      <c r="C912" s="104"/>
      <c r="D912" s="104"/>
      <c r="E912" s="92"/>
      <c r="F912" s="104"/>
      <c r="G912" s="92"/>
      <c r="H912" s="90">
        <v>2130152</v>
      </c>
      <c r="I912" s="90" t="s">
        <v>535</v>
      </c>
      <c r="J912" s="143">
        <v>0</v>
      </c>
      <c r="K912" s="143"/>
      <c r="L912" s="87">
        <v>0</v>
      </c>
      <c r="M912" s="92" t="str">
        <f t="shared" si="30"/>
        <v/>
      </c>
      <c r="N912" s="104">
        <v>0</v>
      </c>
      <c r="O912" s="92" t="str">
        <f t="shared" si="31"/>
        <v/>
      </c>
      <c r="T912" s="97"/>
    </row>
    <row r="913" spans="1:20" ht="18" customHeight="1">
      <c r="A913" s="103"/>
      <c r="B913" s="104"/>
      <c r="C913" s="104"/>
      <c r="D913" s="104"/>
      <c r="E913" s="92"/>
      <c r="F913" s="104"/>
      <c r="G913" s="92"/>
      <c r="H913" s="90">
        <v>2130153</v>
      </c>
      <c r="I913" s="90" t="s">
        <v>536</v>
      </c>
      <c r="J913" s="143">
        <v>0</v>
      </c>
      <c r="K913" s="143"/>
      <c r="L913" s="87">
        <v>0</v>
      </c>
      <c r="M913" s="92" t="str">
        <f t="shared" si="30"/>
        <v/>
      </c>
      <c r="N913" s="104">
        <v>0</v>
      </c>
      <c r="O913" s="92" t="str">
        <f t="shared" si="31"/>
        <v/>
      </c>
      <c r="T913" s="97"/>
    </row>
    <row r="914" spans="1:20" ht="18" customHeight="1">
      <c r="A914" s="103"/>
      <c r="B914" s="104"/>
      <c r="C914" s="104"/>
      <c r="D914" s="104"/>
      <c r="E914" s="92"/>
      <c r="F914" s="104"/>
      <c r="G914" s="92"/>
      <c r="H914" s="90">
        <v>2130199</v>
      </c>
      <c r="I914" s="90" t="s">
        <v>537</v>
      </c>
      <c r="J914" s="143">
        <v>9586</v>
      </c>
      <c r="K914" s="143"/>
      <c r="L914" s="87">
        <v>7482</v>
      </c>
      <c r="M914" s="92" t="str">
        <f t="shared" si="30"/>
        <v/>
      </c>
      <c r="N914" s="104">
        <v>10564</v>
      </c>
      <c r="O914" s="92">
        <f t="shared" si="31"/>
        <v>-0.29174555092767895</v>
      </c>
      <c r="T914" s="97"/>
    </row>
    <row r="915" spans="1:20" ht="18" customHeight="1">
      <c r="A915" s="103"/>
      <c r="B915" s="104"/>
      <c r="C915" s="104"/>
      <c r="D915" s="104"/>
      <c r="E915" s="92"/>
      <c r="F915" s="104"/>
      <c r="G915" s="92"/>
      <c r="H915" s="90">
        <v>21302</v>
      </c>
      <c r="I915" s="80" t="s">
        <v>538</v>
      </c>
      <c r="J915" s="143">
        <v>6907</v>
      </c>
      <c r="K915" s="647">
        <v>9078</v>
      </c>
      <c r="L915" s="87">
        <v>7242</v>
      </c>
      <c r="M915" s="92">
        <f t="shared" si="30"/>
        <v>0.797752808988764</v>
      </c>
      <c r="N915" s="104">
        <v>5871</v>
      </c>
      <c r="O915" s="92">
        <f t="shared" si="31"/>
        <v>0.23352069494123651</v>
      </c>
      <c r="T915" s="97"/>
    </row>
    <row r="916" spans="1:20" ht="18" customHeight="1">
      <c r="A916" s="103"/>
      <c r="B916" s="104"/>
      <c r="C916" s="104"/>
      <c r="D916" s="104"/>
      <c r="E916" s="92"/>
      <c r="F916" s="104"/>
      <c r="G916" s="92"/>
      <c r="H916" s="90">
        <v>2130201</v>
      </c>
      <c r="I916" s="90" t="s">
        <v>1110</v>
      </c>
      <c r="J916" s="143">
        <v>1091</v>
      </c>
      <c r="K916" s="143"/>
      <c r="L916" s="87">
        <v>1199</v>
      </c>
      <c r="M916" s="92" t="str">
        <f t="shared" si="30"/>
        <v/>
      </c>
      <c r="N916" s="104">
        <v>1023</v>
      </c>
      <c r="O916" s="92">
        <f t="shared" si="31"/>
        <v>0.17204301075268824</v>
      </c>
      <c r="T916" s="97"/>
    </row>
    <row r="917" spans="1:20" ht="18" customHeight="1">
      <c r="A917" s="103"/>
      <c r="B917" s="104"/>
      <c r="C917" s="104"/>
      <c r="D917" s="104"/>
      <c r="E917" s="92"/>
      <c r="F917" s="104"/>
      <c r="G917" s="92"/>
      <c r="H917" s="90">
        <v>2130202</v>
      </c>
      <c r="I917" s="90" t="s">
        <v>1111</v>
      </c>
      <c r="J917" s="143">
        <v>0</v>
      </c>
      <c r="K917" s="143"/>
      <c r="L917" s="87">
        <v>0</v>
      </c>
      <c r="M917" s="92" t="str">
        <f t="shared" si="30"/>
        <v/>
      </c>
      <c r="N917" s="104">
        <v>0</v>
      </c>
      <c r="O917" s="92" t="str">
        <f t="shared" si="31"/>
        <v/>
      </c>
      <c r="T917" s="97"/>
    </row>
    <row r="918" spans="1:20" ht="18" customHeight="1">
      <c r="A918" s="103"/>
      <c r="B918" s="104"/>
      <c r="C918" s="104"/>
      <c r="D918" s="104"/>
      <c r="E918" s="92"/>
      <c r="F918" s="104"/>
      <c r="G918" s="92"/>
      <c r="H918" s="90">
        <v>2130203</v>
      </c>
      <c r="I918" s="90" t="s">
        <v>1112</v>
      </c>
      <c r="J918" s="143">
        <v>0</v>
      </c>
      <c r="K918" s="143"/>
      <c r="L918" s="87">
        <v>0</v>
      </c>
      <c r="M918" s="92" t="str">
        <f t="shared" si="30"/>
        <v/>
      </c>
      <c r="N918" s="104">
        <v>0</v>
      </c>
      <c r="O918" s="92" t="str">
        <f t="shared" si="31"/>
        <v/>
      </c>
      <c r="T918" s="97"/>
    </row>
    <row r="919" spans="1:20" ht="18" customHeight="1">
      <c r="A919" s="103"/>
      <c r="B919" s="104"/>
      <c r="C919" s="104"/>
      <c r="D919" s="104"/>
      <c r="E919" s="92"/>
      <c r="F919" s="104"/>
      <c r="G919" s="92"/>
      <c r="H919" s="90">
        <v>2130204</v>
      </c>
      <c r="I919" s="90" t="s">
        <v>539</v>
      </c>
      <c r="J919" s="143">
        <v>390</v>
      </c>
      <c r="K919" s="143"/>
      <c r="L919" s="87">
        <v>509</v>
      </c>
      <c r="M919" s="92" t="str">
        <f t="shared" si="30"/>
        <v/>
      </c>
      <c r="N919" s="104">
        <v>385</v>
      </c>
      <c r="O919" s="92">
        <f t="shared" si="31"/>
        <v>0.32207792207792219</v>
      </c>
      <c r="T919" s="97"/>
    </row>
    <row r="920" spans="1:20" ht="18" customHeight="1">
      <c r="A920" s="103"/>
      <c r="B920" s="104"/>
      <c r="C920" s="104"/>
      <c r="D920" s="104"/>
      <c r="E920" s="92"/>
      <c r="F920" s="104"/>
      <c r="G920" s="92"/>
      <c r="H920" s="90">
        <v>2130205</v>
      </c>
      <c r="I920" s="90" t="s">
        <v>540</v>
      </c>
      <c r="J920" s="143">
        <v>32</v>
      </c>
      <c r="K920" s="143"/>
      <c r="L920" s="87">
        <v>47</v>
      </c>
      <c r="M920" s="92" t="str">
        <f t="shared" si="30"/>
        <v/>
      </c>
      <c r="N920" s="104">
        <v>147</v>
      </c>
      <c r="O920" s="92">
        <f t="shared" si="31"/>
        <v>-0.68027210884353739</v>
      </c>
      <c r="T920" s="97"/>
    </row>
    <row r="921" spans="1:20" ht="18" customHeight="1">
      <c r="A921" s="103"/>
      <c r="B921" s="104"/>
      <c r="C921" s="104"/>
      <c r="D921" s="104"/>
      <c r="E921" s="92"/>
      <c r="F921" s="104"/>
      <c r="G921" s="92"/>
      <c r="H921" s="90">
        <v>2130206</v>
      </c>
      <c r="I921" s="90" t="s">
        <v>541</v>
      </c>
      <c r="J921" s="143">
        <v>0</v>
      </c>
      <c r="K921" s="143"/>
      <c r="L921" s="87">
        <v>30</v>
      </c>
      <c r="M921" s="92" t="str">
        <f t="shared" si="30"/>
        <v/>
      </c>
      <c r="N921" s="104">
        <v>0</v>
      </c>
      <c r="O921" s="92" t="str">
        <f t="shared" si="31"/>
        <v/>
      </c>
      <c r="T921" s="97"/>
    </row>
    <row r="922" spans="1:20" ht="18" customHeight="1">
      <c r="A922" s="103"/>
      <c r="B922" s="104"/>
      <c r="C922" s="104"/>
      <c r="D922" s="104"/>
      <c r="E922" s="92"/>
      <c r="F922" s="104"/>
      <c r="G922" s="92"/>
      <c r="H922" s="90">
        <v>2130207</v>
      </c>
      <c r="I922" s="90" t="s">
        <v>542</v>
      </c>
      <c r="J922" s="143">
        <v>907</v>
      </c>
      <c r="K922" s="143"/>
      <c r="L922" s="87">
        <v>1018</v>
      </c>
      <c r="M922" s="92" t="str">
        <f t="shared" si="30"/>
        <v/>
      </c>
      <c r="N922" s="104">
        <v>994</v>
      </c>
      <c r="O922" s="92">
        <f t="shared" si="31"/>
        <v>2.4144869215291687E-2</v>
      </c>
      <c r="T922" s="97"/>
    </row>
    <row r="923" spans="1:20" ht="18" customHeight="1">
      <c r="A923" s="103"/>
      <c r="B923" s="104"/>
      <c r="C923" s="104"/>
      <c r="D923" s="104"/>
      <c r="E923" s="92"/>
      <c r="F923" s="104"/>
      <c r="G923" s="92"/>
      <c r="H923" s="90">
        <v>2130208</v>
      </c>
      <c r="I923" s="90" t="s">
        <v>543</v>
      </c>
      <c r="J923" s="143">
        <v>124</v>
      </c>
      <c r="K923" s="143"/>
      <c r="L923" s="87">
        <v>145</v>
      </c>
      <c r="M923" s="92" t="str">
        <f t="shared" si="30"/>
        <v/>
      </c>
      <c r="N923" s="104">
        <v>193</v>
      </c>
      <c r="O923" s="92">
        <f t="shared" si="31"/>
        <v>-0.24870466321243523</v>
      </c>
      <c r="T923" s="97"/>
    </row>
    <row r="924" spans="1:20" ht="18" customHeight="1">
      <c r="A924" s="103"/>
      <c r="B924" s="104"/>
      <c r="C924" s="104"/>
      <c r="D924" s="104"/>
      <c r="E924" s="92"/>
      <c r="F924" s="104"/>
      <c r="G924" s="92"/>
      <c r="H924" s="90">
        <v>2130209</v>
      </c>
      <c r="I924" s="90" t="s">
        <v>544</v>
      </c>
      <c r="J924" s="143">
        <v>0</v>
      </c>
      <c r="K924" s="143"/>
      <c r="L924" s="87">
        <v>47</v>
      </c>
      <c r="M924" s="92" t="str">
        <f t="shared" si="30"/>
        <v/>
      </c>
      <c r="N924" s="104">
        <v>0</v>
      </c>
      <c r="O924" s="92" t="str">
        <f t="shared" si="31"/>
        <v/>
      </c>
      <c r="T924" s="97"/>
    </row>
    <row r="925" spans="1:20" ht="18" customHeight="1">
      <c r="A925" s="103"/>
      <c r="B925" s="104"/>
      <c r="C925" s="104"/>
      <c r="D925" s="104"/>
      <c r="E925" s="92"/>
      <c r="F925" s="104"/>
      <c r="G925" s="92"/>
      <c r="H925" s="90">
        <v>2130210</v>
      </c>
      <c r="I925" s="90" t="s">
        <v>545</v>
      </c>
      <c r="J925" s="143">
        <v>1985</v>
      </c>
      <c r="K925" s="143"/>
      <c r="L925" s="87">
        <v>1929</v>
      </c>
      <c r="M925" s="92" t="str">
        <f t="shared" si="30"/>
        <v/>
      </c>
      <c r="N925" s="104">
        <v>792</v>
      </c>
      <c r="O925" s="92">
        <f t="shared" si="31"/>
        <v>1.4356060606060606</v>
      </c>
      <c r="T925" s="97"/>
    </row>
    <row r="926" spans="1:20" ht="18" customHeight="1">
      <c r="A926" s="103"/>
      <c r="B926" s="104"/>
      <c r="C926" s="104"/>
      <c r="D926" s="104"/>
      <c r="E926" s="92"/>
      <c r="F926" s="104"/>
      <c r="G926" s="92"/>
      <c r="H926" s="90">
        <v>2130211</v>
      </c>
      <c r="I926" s="90" t="s">
        <v>546</v>
      </c>
      <c r="J926" s="143">
        <v>851</v>
      </c>
      <c r="K926" s="143"/>
      <c r="L926" s="87">
        <v>971</v>
      </c>
      <c r="M926" s="92" t="str">
        <f t="shared" si="30"/>
        <v/>
      </c>
      <c r="N926" s="104">
        <v>1001</v>
      </c>
      <c r="O926" s="92">
        <f t="shared" si="31"/>
        <v>-2.9970029970029954E-2</v>
      </c>
      <c r="T926" s="97"/>
    </row>
    <row r="927" spans="1:20" ht="18" customHeight="1">
      <c r="A927" s="103"/>
      <c r="B927" s="104"/>
      <c r="C927" s="104"/>
      <c r="D927" s="104"/>
      <c r="E927" s="92"/>
      <c r="F927" s="104"/>
      <c r="G927" s="92"/>
      <c r="H927" s="90">
        <v>2130212</v>
      </c>
      <c r="I927" s="90" t="s">
        <v>547</v>
      </c>
      <c r="J927" s="143">
        <v>51</v>
      </c>
      <c r="K927" s="143"/>
      <c r="L927" s="87">
        <v>126</v>
      </c>
      <c r="M927" s="92" t="str">
        <f t="shared" si="30"/>
        <v/>
      </c>
      <c r="N927" s="104">
        <v>41</v>
      </c>
      <c r="O927" s="92">
        <f t="shared" si="31"/>
        <v>2.0731707317073171</v>
      </c>
      <c r="T927" s="97"/>
    </row>
    <row r="928" spans="1:20" ht="18" customHeight="1">
      <c r="A928" s="103"/>
      <c r="B928" s="104"/>
      <c r="C928" s="104"/>
      <c r="D928" s="104"/>
      <c r="E928" s="92"/>
      <c r="F928" s="104"/>
      <c r="G928" s="92"/>
      <c r="H928" s="90">
        <v>2130213</v>
      </c>
      <c r="I928" s="90" t="s">
        <v>548</v>
      </c>
      <c r="J928" s="143">
        <v>490</v>
      </c>
      <c r="K928" s="143"/>
      <c r="L928" s="87">
        <v>272</v>
      </c>
      <c r="M928" s="92" t="str">
        <f t="shared" si="30"/>
        <v/>
      </c>
      <c r="N928" s="104">
        <v>527</v>
      </c>
      <c r="O928" s="92">
        <f t="shared" si="31"/>
        <v>-0.4838709677419355</v>
      </c>
      <c r="T928" s="97"/>
    </row>
    <row r="929" spans="1:20" ht="18" customHeight="1">
      <c r="A929" s="103"/>
      <c r="B929" s="104"/>
      <c r="C929" s="104"/>
      <c r="D929" s="104"/>
      <c r="E929" s="92"/>
      <c r="F929" s="104"/>
      <c r="G929" s="92"/>
      <c r="H929" s="90">
        <v>2130216</v>
      </c>
      <c r="I929" s="90" t="s">
        <v>549</v>
      </c>
      <c r="J929" s="143">
        <v>0</v>
      </c>
      <c r="K929" s="143"/>
      <c r="L929" s="87">
        <v>0</v>
      </c>
      <c r="M929" s="92" t="str">
        <f t="shared" si="30"/>
        <v/>
      </c>
      <c r="N929" s="104">
        <v>0</v>
      </c>
      <c r="O929" s="92" t="str">
        <f t="shared" si="31"/>
        <v/>
      </c>
      <c r="T929" s="97"/>
    </row>
    <row r="930" spans="1:20" ht="18" customHeight="1">
      <c r="A930" s="103"/>
      <c r="B930" s="104"/>
      <c r="C930" s="104"/>
      <c r="D930" s="104"/>
      <c r="E930" s="92"/>
      <c r="F930" s="104"/>
      <c r="G930" s="92"/>
      <c r="H930" s="90">
        <v>2130217</v>
      </c>
      <c r="I930" s="90" t="s">
        <v>550</v>
      </c>
      <c r="J930" s="143">
        <v>0</v>
      </c>
      <c r="K930" s="143"/>
      <c r="L930" s="87">
        <v>0</v>
      </c>
      <c r="M930" s="92" t="str">
        <f t="shared" si="30"/>
        <v/>
      </c>
      <c r="N930" s="104">
        <v>0</v>
      </c>
      <c r="O930" s="92" t="str">
        <f t="shared" si="31"/>
        <v/>
      </c>
      <c r="T930" s="97"/>
    </row>
    <row r="931" spans="1:20" ht="18" customHeight="1">
      <c r="A931" s="103"/>
      <c r="B931" s="104"/>
      <c r="C931" s="104"/>
      <c r="D931" s="104"/>
      <c r="E931" s="92"/>
      <c r="F931" s="104"/>
      <c r="G931" s="92"/>
      <c r="H931" s="90">
        <v>2130218</v>
      </c>
      <c r="I931" s="90" t="s">
        <v>551</v>
      </c>
      <c r="J931" s="143">
        <v>0</v>
      </c>
      <c r="K931" s="143"/>
      <c r="L931" s="87">
        <v>0</v>
      </c>
      <c r="M931" s="92" t="str">
        <f t="shared" si="30"/>
        <v/>
      </c>
      <c r="N931" s="104">
        <v>0</v>
      </c>
      <c r="O931" s="92" t="str">
        <f t="shared" si="31"/>
        <v/>
      </c>
      <c r="T931" s="97"/>
    </row>
    <row r="932" spans="1:20" ht="18" customHeight="1">
      <c r="A932" s="103"/>
      <c r="B932" s="104"/>
      <c r="C932" s="104"/>
      <c r="D932" s="104"/>
      <c r="E932" s="92"/>
      <c r="F932" s="104"/>
      <c r="G932" s="92"/>
      <c r="H932" s="90">
        <v>2130219</v>
      </c>
      <c r="I932" s="90" t="s">
        <v>552</v>
      </c>
      <c r="J932" s="143">
        <v>0</v>
      </c>
      <c r="K932" s="143"/>
      <c r="L932" s="87">
        <v>0</v>
      </c>
      <c r="M932" s="92" t="str">
        <f t="shared" si="30"/>
        <v/>
      </c>
      <c r="N932" s="104">
        <v>0</v>
      </c>
      <c r="O932" s="92" t="str">
        <f t="shared" si="31"/>
        <v/>
      </c>
      <c r="T932" s="97"/>
    </row>
    <row r="933" spans="1:20" ht="18" customHeight="1">
      <c r="A933" s="103"/>
      <c r="B933" s="104"/>
      <c r="C933" s="104"/>
      <c r="D933" s="104"/>
      <c r="E933" s="92"/>
      <c r="F933" s="104"/>
      <c r="G933" s="92"/>
      <c r="H933" s="90">
        <v>2130220</v>
      </c>
      <c r="I933" s="90" t="s">
        <v>553</v>
      </c>
      <c r="J933" s="143">
        <v>0</v>
      </c>
      <c r="K933" s="143"/>
      <c r="L933" s="87">
        <v>0</v>
      </c>
      <c r="M933" s="92" t="str">
        <f t="shared" si="30"/>
        <v/>
      </c>
      <c r="N933" s="104">
        <v>0</v>
      </c>
      <c r="O933" s="92" t="str">
        <f t="shared" si="31"/>
        <v/>
      </c>
      <c r="T933" s="97"/>
    </row>
    <row r="934" spans="1:20" ht="18" customHeight="1">
      <c r="A934" s="103"/>
      <c r="B934" s="104"/>
      <c r="C934" s="104"/>
      <c r="D934" s="104"/>
      <c r="E934" s="92"/>
      <c r="F934" s="104"/>
      <c r="G934" s="92"/>
      <c r="H934" s="90">
        <v>2130221</v>
      </c>
      <c r="I934" s="90" t="s">
        <v>554</v>
      </c>
      <c r="J934" s="143">
        <v>0</v>
      </c>
      <c r="K934" s="143"/>
      <c r="L934" s="87">
        <v>0</v>
      </c>
      <c r="M934" s="92" t="str">
        <f t="shared" si="30"/>
        <v/>
      </c>
      <c r="N934" s="104">
        <v>0</v>
      </c>
      <c r="O934" s="92" t="str">
        <f t="shared" si="31"/>
        <v/>
      </c>
      <c r="T934" s="97"/>
    </row>
    <row r="935" spans="1:20" ht="18" customHeight="1">
      <c r="A935" s="103"/>
      <c r="B935" s="104"/>
      <c r="C935" s="104"/>
      <c r="D935" s="104"/>
      <c r="E935" s="92"/>
      <c r="F935" s="104"/>
      <c r="G935" s="92"/>
      <c r="H935" s="90">
        <v>2130223</v>
      </c>
      <c r="I935" s="90" t="s">
        <v>555</v>
      </c>
      <c r="J935" s="143">
        <v>70</v>
      </c>
      <c r="K935" s="143"/>
      <c r="L935" s="87">
        <v>75</v>
      </c>
      <c r="M935" s="92" t="str">
        <f t="shared" si="30"/>
        <v/>
      </c>
      <c r="N935" s="104">
        <v>44</v>
      </c>
      <c r="O935" s="92">
        <f t="shared" si="31"/>
        <v>0.70454545454545459</v>
      </c>
      <c r="T935" s="97"/>
    </row>
    <row r="936" spans="1:20" ht="18" customHeight="1">
      <c r="A936" s="103"/>
      <c r="B936" s="104"/>
      <c r="C936" s="104"/>
      <c r="D936" s="104"/>
      <c r="E936" s="92"/>
      <c r="F936" s="104"/>
      <c r="G936" s="92"/>
      <c r="H936" s="90">
        <v>2130224</v>
      </c>
      <c r="I936" s="90" t="s">
        <v>556</v>
      </c>
      <c r="J936" s="143">
        <v>29</v>
      </c>
      <c r="K936" s="143"/>
      <c r="L936" s="87">
        <v>24</v>
      </c>
      <c r="M936" s="92" t="str">
        <f t="shared" si="30"/>
        <v/>
      </c>
      <c r="N936" s="104">
        <v>22</v>
      </c>
      <c r="O936" s="92">
        <f t="shared" si="31"/>
        <v>9.0909090909090828E-2</v>
      </c>
      <c r="T936" s="97"/>
    </row>
    <row r="937" spans="1:20" ht="18" customHeight="1">
      <c r="A937" s="103"/>
      <c r="B937" s="104"/>
      <c r="C937" s="104"/>
      <c r="D937" s="104"/>
      <c r="E937" s="92"/>
      <c r="F937" s="104"/>
      <c r="G937" s="92"/>
      <c r="H937" s="90">
        <v>2130225</v>
      </c>
      <c r="I937" s="90" t="s">
        <v>557</v>
      </c>
      <c r="J937" s="143">
        <v>0</v>
      </c>
      <c r="K937" s="143"/>
      <c r="L937" s="87">
        <v>0</v>
      </c>
      <c r="M937" s="92" t="str">
        <f t="shared" si="30"/>
        <v/>
      </c>
      <c r="N937" s="104">
        <v>0</v>
      </c>
      <c r="O937" s="92" t="str">
        <f t="shared" si="31"/>
        <v/>
      </c>
      <c r="T937" s="97"/>
    </row>
    <row r="938" spans="1:20" ht="18" customHeight="1">
      <c r="A938" s="103"/>
      <c r="B938" s="104"/>
      <c r="C938" s="104"/>
      <c r="D938" s="104"/>
      <c r="E938" s="92"/>
      <c r="F938" s="104"/>
      <c r="G938" s="92"/>
      <c r="H938" s="90">
        <v>2130226</v>
      </c>
      <c r="I938" s="90" t="s">
        <v>558</v>
      </c>
      <c r="J938" s="143">
        <v>0</v>
      </c>
      <c r="K938" s="143"/>
      <c r="L938" s="87">
        <v>0</v>
      </c>
      <c r="M938" s="92" t="str">
        <f t="shared" si="30"/>
        <v/>
      </c>
      <c r="N938" s="104">
        <v>0</v>
      </c>
      <c r="O938" s="92" t="str">
        <f t="shared" si="31"/>
        <v/>
      </c>
      <c r="T938" s="97"/>
    </row>
    <row r="939" spans="1:20" ht="18" customHeight="1">
      <c r="A939" s="103"/>
      <c r="B939" s="104"/>
      <c r="C939" s="104"/>
      <c r="D939" s="104"/>
      <c r="E939" s="92"/>
      <c r="F939" s="104"/>
      <c r="G939" s="92"/>
      <c r="H939" s="90">
        <v>2130227</v>
      </c>
      <c r="I939" s="90" t="s">
        <v>559</v>
      </c>
      <c r="J939" s="143">
        <v>0</v>
      </c>
      <c r="K939" s="143"/>
      <c r="L939" s="87">
        <v>0</v>
      </c>
      <c r="M939" s="92" t="str">
        <f t="shared" si="30"/>
        <v/>
      </c>
      <c r="N939" s="104">
        <v>0</v>
      </c>
      <c r="O939" s="92" t="str">
        <f t="shared" si="31"/>
        <v/>
      </c>
      <c r="T939" s="97"/>
    </row>
    <row r="940" spans="1:20" ht="18" customHeight="1">
      <c r="A940" s="103"/>
      <c r="B940" s="104"/>
      <c r="C940" s="104"/>
      <c r="D940" s="104"/>
      <c r="E940" s="92"/>
      <c r="F940" s="104"/>
      <c r="G940" s="92"/>
      <c r="H940" s="90">
        <v>2130232</v>
      </c>
      <c r="I940" s="90" t="s">
        <v>560</v>
      </c>
      <c r="J940" s="143">
        <v>0</v>
      </c>
      <c r="K940" s="143"/>
      <c r="L940" s="87">
        <v>0</v>
      </c>
      <c r="M940" s="92" t="str">
        <f t="shared" si="30"/>
        <v/>
      </c>
      <c r="N940" s="104">
        <v>0</v>
      </c>
      <c r="O940" s="92" t="str">
        <f t="shared" si="31"/>
        <v/>
      </c>
      <c r="T940" s="97"/>
    </row>
    <row r="941" spans="1:20" ht="18" customHeight="1">
      <c r="A941" s="103"/>
      <c r="B941" s="104"/>
      <c r="C941" s="104"/>
      <c r="D941" s="104"/>
      <c r="E941" s="92"/>
      <c r="F941" s="104"/>
      <c r="G941" s="92"/>
      <c r="H941" s="90">
        <v>2130233</v>
      </c>
      <c r="I941" s="90" t="s">
        <v>561</v>
      </c>
      <c r="J941" s="143">
        <v>0</v>
      </c>
      <c r="K941" s="143"/>
      <c r="L941" s="87">
        <v>0</v>
      </c>
      <c r="M941" s="92" t="str">
        <f t="shared" si="30"/>
        <v/>
      </c>
      <c r="N941" s="104">
        <v>0</v>
      </c>
      <c r="O941" s="92" t="str">
        <f t="shared" si="31"/>
        <v/>
      </c>
      <c r="T941" s="97"/>
    </row>
    <row r="942" spans="1:20" ht="18" customHeight="1">
      <c r="A942" s="103"/>
      <c r="B942" s="104"/>
      <c r="C942" s="104"/>
      <c r="D942" s="104"/>
      <c r="E942" s="92"/>
      <c r="F942" s="104"/>
      <c r="G942" s="92"/>
      <c r="H942" s="90">
        <v>2130234</v>
      </c>
      <c r="I942" s="90" t="s">
        <v>562</v>
      </c>
      <c r="J942" s="143">
        <v>0</v>
      </c>
      <c r="K942" s="143"/>
      <c r="L942" s="87">
        <v>0</v>
      </c>
      <c r="M942" s="92" t="str">
        <f t="shared" si="30"/>
        <v/>
      </c>
      <c r="N942" s="104">
        <v>0</v>
      </c>
      <c r="O942" s="92" t="str">
        <f t="shared" si="31"/>
        <v/>
      </c>
      <c r="T942" s="97"/>
    </row>
    <row r="943" spans="1:20" ht="18" customHeight="1">
      <c r="A943" s="103"/>
      <c r="B943" s="104"/>
      <c r="C943" s="104"/>
      <c r="D943" s="104"/>
      <c r="E943" s="92"/>
      <c r="F943" s="104"/>
      <c r="G943" s="92"/>
      <c r="H943" s="90">
        <v>2130299</v>
      </c>
      <c r="I943" s="90" t="s">
        <v>563</v>
      </c>
      <c r="J943" s="143">
        <v>887</v>
      </c>
      <c r="K943" s="143"/>
      <c r="L943" s="87">
        <v>850</v>
      </c>
      <c r="M943" s="92" t="str">
        <f t="shared" si="30"/>
        <v/>
      </c>
      <c r="N943" s="104">
        <v>702</v>
      </c>
      <c r="O943" s="92">
        <f t="shared" si="31"/>
        <v>0.21082621082621089</v>
      </c>
      <c r="T943" s="97"/>
    </row>
    <row r="944" spans="1:20" ht="18" customHeight="1">
      <c r="A944" s="103"/>
      <c r="B944" s="104"/>
      <c r="C944" s="104"/>
      <c r="D944" s="104"/>
      <c r="E944" s="92"/>
      <c r="F944" s="104"/>
      <c r="G944" s="92"/>
      <c r="H944" s="90">
        <v>21303</v>
      </c>
      <c r="I944" s="80" t="s">
        <v>564</v>
      </c>
      <c r="J944" s="143">
        <v>477872</v>
      </c>
      <c r="K944" s="647">
        <v>276178</v>
      </c>
      <c r="L944" s="87">
        <v>276178</v>
      </c>
      <c r="M944" s="92">
        <f t="shared" si="30"/>
        <v>1</v>
      </c>
      <c r="N944" s="104">
        <v>381549</v>
      </c>
      <c r="O944" s="92">
        <f t="shared" si="31"/>
        <v>-0.27616636395325367</v>
      </c>
      <c r="T944" s="97"/>
    </row>
    <row r="945" spans="1:20" ht="18" customHeight="1">
      <c r="A945" s="103"/>
      <c r="B945" s="104"/>
      <c r="C945" s="104"/>
      <c r="D945" s="104"/>
      <c r="E945" s="92"/>
      <c r="F945" s="104"/>
      <c r="G945" s="92"/>
      <c r="H945" s="90">
        <v>2130301</v>
      </c>
      <c r="I945" s="90" t="s">
        <v>1110</v>
      </c>
      <c r="J945" s="143">
        <v>2071</v>
      </c>
      <c r="K945" s="143"/>
      <c r="L945" s="87">
        <v>2461</v>
      </c>
      <c r="M945" s="92" t="str">
        <f t="shared" si="30"/>
        <v/>
      </c>
      <c r="N945" s="104">
        <v>1919</v>
      </c>
      <c r="O945" s="92">
        <f t="shared" si="31"/>
        <v>0.28243877019280883</v>
      </c>
      <c r="T945" s="97"/>
    </row>
    <row r="946" spans="1:20" ht="18" customHeight="1">
      <c r="A946" s="103"/>
      <c r="B946" s="104"/>
      <c r="C946" s="104"/>
      <c r="D946" s="104"/>
      <c r="E946" s="92"/>
      <c r="F946" s="104"/>
      <c r="G946" s="92"/>
      <c r="H946" s="90">
        <v>2130302</v>
      </c>
      <c r="I946" s="90" t="s">
        <v>1111</v>
      </c>
      <c r="J946" s="143">
        <v>0</v>
      </c>
      <c r="K946" s="143"/>
      <c r="L946" s="87">
        <v>0</v>
      </c>
      <c r="M946" s="92" t="str">
        <f t="shared" si="30"/>
        <v/>
      </c>
      <c r="N946" s="104">
        <v>0</v>
      </c>
      <c r="O946" s="92" t="str">
        <f t="shared" si="31"/>
        <v/>
      </c>
      <c r="T946" s="97"/>
    </row>
    <row r="947" spans="1:20" ht="18" customHeight="1">
      <c r="A947" s="103"/>
      <c r="B947" s="104"/>
      <c r="C947" s="104"/>
      <c r="D947" s="104"/>
      <c r="E947" s="92"/>
      <c r="F947" s="104"/>
      <c r="G947" s="92"/>
      <c r="H947" s="90">
        <v>2130303</v>
      </c>
      <c r="I947" s="90" t="s">
        <v>1112</v>
      </c>
      <c r="J947" s="143">
        <v>0</v>
      </c>
      <c r="K947" s="143"/>
      <c r="L947" s="87">
        <v>0</v>
      </c>
      <c r="M947" s="92" t="str">
        <f t="shared" si="30"/>
        <v/>
      </c>
      <c r="N947" s="104">
        <v>0</v>
      </c>
      <c r="O947" s="92" t="str">
        <f t="shared" si="31"/>
        <v/>
      </c>
      <c r="T947" s="97"/>
    </row>
    <row r="948" spans="1:20" ht="18" customHeight="1">
      <c r="A948" s="103"/>
      <c r="B948" s="104"/>
      <c r="C948" s="104"/>
      <c r="D948" s="104"/>
      <c r="E948" s="92"/>
      <c r="F948" s="104"/>
      <c r="G948" s="92"/>
      <c r="H948" s="90">
        <v>2130304</v>
      </c>
      <c r="I948" s="90" t="s">
        <v>565</v>
      </c>
      <c r="J948" s="143">
        <v>15077</v>
      </c>
      <c r="K948" s="143"/>
      <c r="L948" s="87">
        <v>13026</v>
      </c>
      <c r="M948" s="92" t="str">
        <f t="shared" si="30"/>
        <v/>
      </c>
      <c r="N948" s="104">
        <v>8994</v>
      </c>
      <c r="O948" s="92">
        <f t="shared" si="31"/>
        <v>0.44829886591060708</v>
      </c>
      <c r="T948" s="97"/>
    </row>
    <row r="949" spans="1:20" ht="18" customHeight="1">
      <c r="A949" s="103"/>
      <c r="B949" s="104"/>
      <c r="C949" s="104"/>
      <c r="D949" s="104"/>
      <c r="E949" s="92"/>
      <c r="F949" s="104"/>
      <c r="G949" s="92"/>
      <c r="H949" s="90">
        <v>2130305</v>
      </c>
      <c r="I949" s="90" t="s">
        <v>566</v>
      </c>
      <c r="J949" s="143">
        <v>351500</v>
      </c>
      <c r="K949" s="143"/>
      <c r="L949" s="87">
        <v>58802</v>
      </c>
      <c r="M949" s="92" t="str">
        <f t="shared" si="30"/>
        <v/>
      </c>
      <c r="N949" s="104">
        <v>107</v>
      </c>
      <c r="O949" s="92">
        <f t="shared" si="31"/>
        <v>548.55140186915889</v>
      </c>
      <c r="T949" s="97"/>
    </row>
    <row r="950" spans="1:20" ht="18" customHeight="1">
      <c r="A950" s="103"/>
      <c r="B950" s="104"/>
      <c r="C950" s="104"/>
      <c r="D950" s="104"/>
      <c r="E950" s="92"/>
      <c r="F950" s="104"/>
      <c r="G950" s="92"/>
      <c r="H950" s="90">
        <v>2130306</v>
      </c>
      <c r="I950" s="90" t="s">
        <v>567</v>
      </c>
      <c r="J950" s="143">
        <v>47004</v>
      </c>
      <c r="K950" s="143"/>
      <c r="L950" s="87">
        <v>48741</v>
      </c>
      <c r="M950" s="92" t="str">
        <f t="shared" si="30"/>
        <v/>
      </c>
      <c r="N950" s="104">
        <v>45662</v>
      </c>
      <c r="O950" s="92">
        <f t="shared" si="31"/>
        <v>6.7430248346546318E-2</v>
      </c>
      <c r="T950" s="97"/>
    </row>
    <row r="951" spans="1:20" ht="18" customHeight="1">
      <c r="A951" s="103"/>
      <c r="B951" s="104"/>
      <c r="C951" s="104"/>
      <c r="D951" s="104"/>
      <c r="E951" s="92"/>
      <c r="F951" s="104"/>
      <c r="G951" s="92"/>
      <c r="H951" s="90">
        <v>2130307</v>
      </c>
      <c r="I951" s="90" t="s">
        <v>568</v>
      </c>
      <c r="J951" s="143">
        <v>0</v>
      </c>
      <c r="K951" s="143"/>
      <c r="L951" s="87">
        <v>0</v>
      </c>
      <c r="M951" s="92" t="str">
        <f t="shared" si="30"/>
        <v/>
      </c>
      <c r="N951" s="104">
        <v>0</v>
      </c>
      <c r="O951" s="92" t="str">
        <f t="shared" si="31"/>
        <v/>
      </c>
      <c r="T951" s="97"/>
    </row>
    <row r="952" spans="1:20" ht="18" customHeight="1">
      <c r="A952" s="103"/>
      <c r="B952" s="104"/>
      <c r="C952" s="104"/>
      <c r="D952" s="104"/>
      <c r="E952" s="92"/>
      <c r="F952" s="104"/>
      <c r="G952" s="92"/>
      <c r="H952" s="90">
        <v>2130308</v>
      </c>
      <c r="I952" s="90" t="s">
        <v>569</v>
      </c>
      <c r="J952" s="143">
        <v>0</v>
      </c>
      <c r="K952" s="143"/>
      <c r="L952" s="87">
        <v>0</v>
      </c>
      <c r="M952" s="92" t="str">
        <f t="shared" si="30"/>
        <v/>
      </c>
      <c r="N952" s="104">
        <v>0</v>
      </c>
      <c r="O952" s="92" t="str">
        <f t="shared" si="31"/>
        <v/>
      </c>
      <c r="T952" s="97"/>
    </row>
    <row r="953" spans="1:20" ht="18" customHeight="1">
      <c r="A953" s="103"/>
      <c r="B953" s="104"/>
      <c r="C953" s="104"/>
      <c r="D953" s="104"/>
      <c r="E953" s="92"/>
      <c r="F953" s="104"/>
      <c r="G953" s="92"/>
      <c r="H953" s="90">
        <v>2130309</v>
      </c>
      <c r="I953" s="90" t="s">
        <v>570</v>
      </c>
      <c r="J953" s="143">
        <v>0</v>
      </c>
      <c r="K953" s="143"/>
      <c r="L953" s="87">
        <v>39</v>
      </c>
      <c r="M953" s="92" t="str">
        <f t="shared" si="30"/>
        <v/>
      </c>
      <c r="N953" s="104">
        <v>36</v>
      </c>
      <c r="O953" s="92">
        <f t="shared" si="31"/>
        <v>8.3333333333333259E-2</v>
      </c>
      <c r="T953" s="97"/>
    </row>
    <row r="954" spans="1:20" ht="18" customHeight="1">
      <c r="A954" s="103"/>
      <c r="B954" s="104"/>
      <c r="C954" s="104"/>
      <c r="D954" s="104"/>
      <c r="E954" s="92"/>
      <c r="F954" s="104"/>
      <c r="G954" s="92"/>
      <c r="H954" s="90">
        <v>2130310</v>
      </c>
      <c r="I954" s="90" t="s">
        <v>571</v>
      </c>
      <c r="J954" s="143">
        <v>0</v>
      </c>
      <c r="K954" s="143"/>
      <c r="L954" s="87">
        <v>0</v>
      </c>
      <c r="M954" s="92" t="str">
        <f t="shared" si="30"/>
        <v/>
      </c>
      <c r="N954" s="104">
        <v>0</v>
      </c>
      <c r="O954" s="92" t="str">
        <f t="shared" si="31"/>
        <v/>
      </c>
      <c r="T954" s="97"/>
    </row>
    <row r="955" spans="1:20" ht="18" customHeight="1">
      <c r="A955" s="103"/>
      <c r="B955" s="104"/>
      <c r="C955" s="104"/>
      <c r="D955" s="104"/>
      <c r="E955" s="92"/>
      <c r="F955" s="104"/>
      <c r="G955" s="92"/>
      <c r="H955" s="90">
        <v>2130311</v>
      </c>
      <c r="I955" s="90" t="s">
        <v>572</v>
      </c>
      <c r="J955" s="143">
        <v>54000</v>
      </c>
      <c r="K955" s="143"/>
      <c r="L955" s="87">
        <v>57261</v>
      </c>
      <c r="M955" s="92" t="str">
        <f t="shared" si="30"/>
        <v/>
      </c>
      <c r="N955" s="104">
        <v>50114</v>
      </c>
      <c r="O955" s="92">
        <f t="shared" si="31"/>
        <v>0.14261483816897469</v>
      </c>
      <c r="T955" s="97"/>
    </row>
    <row r="956" spans="1:20" ht="18" customHeight="1">
      <c r="A956" s="103"/>
      <c r="B956" s="104"/>
      <c r="C956" s="104"/>
      <c r="D956" s="104"/>
      <c r="E956" s="92"/>
      <c r="F956" s="104"/>
      <c r="G956" s="92"/>
      <c r="H956" s="90">
        <v>2130312</v>
      </c>
      <c r="I956" s="90" t="s">
        <v>573</v>
      </c>
      <c r="J956" s="143">
        <v>0</v>
      </c>
      <c r="K956" s="143"/>
      <c r="L956" s="87">
        <v>41</v>
      </c>
      <c r="M956" s="92" t="str">
        <f t="shared" si="30"/>
        <v/>
      </c>
      <c r="N956" s="104">
        <v>34</v>
      </c>
      <c r="O956" s="92">
        <f t="shared" si="31"/>
        <v>0.20588235294117641</v>
      </c>
      <c r="T956" s="97"/>
    </row>
    <row r="957" spans="1:20" ht="18" customHeight="1">
      <c r="A957" s="103"/>
      <c r="B957" s="104"/>
      <c r="C957" s="104"/>
      <c r="D957" s="104"/>
      <c r="E957" s="92"/>
      <c r="F957" s="104"/>
      <c r="G957" s="92"/>
      <c r="H957" s="90">
        <v>2130313</v>
      </c>
      <c r="I957" s="90" t="s">
        <v>574</v>
      </c>
      <c r="J957" s="143">
        <v>0</v>
      </c>
      <c r="K957" s="143"/>
      <c r="L957" s="87">
        <v>0</v>
      </c>
      <c r="M957" s="92" t="str">
        <f t="shared" si="30"/>
        <v/>
      </c>
      <c r="N957" s="104">
        <v>0</v>
      </c>
      <c r="O957" s="92" t="str">
        <f t="shared" si="31"/>
        <v/>
      </c>
      <c r="T957" s="97"/>
    </row>
    <row r="958" spans="1:20" ht="18" customHeight="1">
      <c r="A958" s="103"/>
      <c r="B958" s="104"/>
      <c r="C958" s="104"/>
      <c r="D958" s="104"/>
      <c r="E958" s="92"/>
      <c r="F958" s="104"/>
      <c r="G958" s="92"/>
      <c r="H958" s="90">
        <v>2130314</v>
      </c>
      <c r="I958" s="90" t="s">
        <v>575</v>
      </c>
      <c r="J958" s="143">
        <v>714</v>
      </c>
      <c r="K958" s="143"/>
      <c r="L958" s="87">
        <v>764</v>
      </c>
      <c r="M958" s="92" t="str">
        <f t="shared" si="30"/>
        <v/>
      </c>
      <c r="N958" s="104">
        <v>679</v>
      </c>
      <c r="O958" s="92">
        <f t="shared" si="31"/>
        <v>0.1251840942562592</v>
      </c>
      <c r="T958" s="97"/>
    </row>
    <row r="959" spans="1:20" ht="18" customHeight="1">
      <c r="A959" s="103"/>
      <c r="B959" s="104"/>
      <c r="C959" s="104"/>
      <c r="D959" s="104"/>
      <c r="E959" s="92"/>
      <c r="F959" s="104"/>
      <c r="G959" s="92"/>
      <c r="H959" s="90">
        <v>2130315</v>
      </c>
      <c r="I959" s="90" t="s">
        <v>576</v>
      </c>
      <c r="J959" s="143">
        <v>0</v>
      </c>
      <c r="K959" s="143"/>
      <c r="L959" s="87">
        <v>0</v>
      </c>
      <c r="M959" s="92" t="str">
        <f t="shared" si="30"/>
        <v/>
      </c>
      <c r="N959" s="104">
        <v>0</v>
      </c>
      <c r="O959" s="92" t="str">
        <f t="shared" si="31"/>
        <v/>
      </c>
      <c r="T959" s="97"/>
    </row>
    <row r="960" spans="1:20" ht="18" customHeight="1">
      <c r="A960" s="103"/>
      <c r="B960" s="104"/>
      <c r="C960" s="104"/>
      <c r="D960" s="104"/>
      <c r="E960" s="92"/>
      <c r="F960" s="104"/>
      <c r="G960" s="92"/>
      <c r="H960" s="90">
        <v>2130316</v>
      </c>
      <c r="I960" s="90" t="s">
        <v>577</v>
      </c>
      <c r="J960" s="143">
        <v>0</v>
      </c>
      <c r="K960" s="143"/>
      <c r="L960" s="87">
        <v>0</v>
      </c>
      <c r="M960" s="92" t="str">
        <f t="shared" si="30"/>
        <v/>
      </c>
      <c r="N960" s="104">
        <v>0</v>
      </c>
      <c r="O960" s="92" t="str">
        <f t="shared" si="31"/>
        <v/>
      </c>
      <c r="T960" s="97"/>
    </row>
    <row r="961" spans="1:20" ht="18" customHeight="1">
      <c r="A961" s="103"/>
      <c r="B961" s="104"/>
      <c r="C961" s="104"/>
      <c r="D961" s="104"/>
      <c r="E961" s="92"/>
      <c r="F961" s="104"/>
      <c r="G961" s="92"/>
      <c r="H961" s="90">
        <v>2130317</v>
      </c>
      <c r="I961" s="90" t="s">
        <v>578</v>
      </c>
      <c r="J961" s="143">
        <v>0</v>
      </c>
      <c r="K961" s="143"/>
      <c r="L961" s="87">
        <v>0</v>
      </c>
      <c r="M961" s="92" t="str">
        <f t="shared" si="30"/>
        <v/>
      </c>
      <c r="N961" s="104">
        <v>0</v>
      </c>
      <c r="O961" s="92" t="str">
        <f t="shared" si="31"/>
        <v/>
      </c>
      <c r="T961" s="97"/>
    </row>
    <row r="962" spans="1:20" ht="18" customHeight="1">
      <c r="A962" s="103"/>
      <c r="B962" s="104"/>
      <c r="C962" s="104"/>
      <c r="D962" s="104"/>
      <c r="E962" s="92"/>
      <c r="F962" s="104"/>
      <c r="G962" s="92"/>
      <c r="H962" s="90">
        <v>2130318</v>
      </c>
      <c r="I962" s="90" t="s">
        <v>579</v>
      </c>
      <c r="J962" s="143">
        <v>0</v>
      </c>
      <c r="K962" s="143"/>
      <c r="L962" s="87">
        <v>0</v>
      </c>
      <c r="M962" s="92" t="str">
        <f t="shared" si="30"/>
        <v/>
      </c>
      <c r="N962" s="104">
        <v>0</v>
      </c>
      <c r="O962" s="92" t="str">
        <f t="shared" si="31"/>
        <v/>
      </c>
      <c r="T962" s="97"/>
    </row>
    <row r="963" spans="1:20" ht="18" customHeight="1">
      <c r="A963" s="103"/>
      <c r="B963" s="104"/>
      <c r="C963" s="104"/>
      <c r="D963" s="104"/>
      <c r="E963" s="92"/>
      <c r="F963" s="104"/>
      <c r="G963" s="92"/>
      <c r="H963" s="90">
        <v>2130321</v>
      </c>
      <c r="I963" s="90" t="s">
        <v>580</v>
      </c>
      <c r="J963" s="143">
        <v>0</v>
      </c>
      <c r="K963" s="143"/>
      <c r="L963" s="87">
        <v>0</v>
      </c>
      <c r="M963" s="92" t="str">
        <f t="shared" si="30"/>
        <v/>
      </c>
      <c r="N963" s="104">
        <v>0</v>
      </c>
      <c r="O963" s="92" t="str">
        <f t="shared" si="31"/>
        <v/>
      </c>
      <c r="T963" s="97"/>
    </row>
    <row r="964" spans="1:20" ht="18" customHeight="1">
      <c r="A964" s="103"/>
      <c r="B964" s="104"/>
      <c r="C964" s="104"/>
      <c r="D964" s="104"/>
      <c r="E964" s="92"/>
      <c r="F964" s="104"/>
      <c r="G964" s="92"/>
      <c r="H964" s="90">
        <v>2130322</v>
      </c>
      <c r="I964" s="90" t="s">
        <v>581</v>
      </c>
      <c r="J964" s="143">
        <v>0</v>
      </c>
      <c r="K964" s="143"/>
      <c r="L964" s="87">
        <v>0</v>
      </c>
      <c r="M964" s="92" t="str">
        <f t="shared" si="30"/>
        <v/>
      </c>
      <c r="N964" s="104">
        <v>0</v>
      </c>
      <c r="O964" s="92" t="str">
        <f t="shared" si="31"/>
        <v/>
      </c>
      <c r="T964" s="97"/>
    </row>
    <row r="965" spans="1:20" ht="18" customHeight="1">
      <c r="A965" s="103"/>
      <c r="B965" s="104"/>
      <c r="C965" s="104"/>
      <c r="D965" s="104"/>
      <c r="E965" s="92"/>
      <c r="F965" s="104"/>
      <c r="G965" s="92"/>
      <c r="H965" s="90">
        <v>2130331</v>
      </c>
      <c r="I965" s="90" t="s">
        <v>582</v>
      </c>
      <c r="J965" s="143">
        <v>0</v>
      </c>
      <c r="K965" s="143"/>
      <c r="L965" s="87">
        <v>0</v>
      </c>
      <c r="M965" s="92" t="str">
        <f t="shared" si="30"/>
        <v/>
      </c>
      <c r="N965" s="104">
        <v>0</v>
      </c>
      <c r="O965" s="92" t="str">
        <f t="shared" si="31"/>
        <v/>
      </c>
      <c r="T965" s="97"/>
    </row>
    <row r="966" spans="1:20" ht="18" customHeight="1">
      <c r="A966" s="103"/>
      <c r="B966" s="104"/>
      <c r="C966" s="104"/>
      <c r="D966" s="104"/>
      <c r="E966" s="92"/>
      <c r="F966" s="104"/>
      <c r="G966" s="92"/>
      <c r="H966" s="90">
        <v>2130332</v>
      </c>
      <c r="I966" s="90" t="s">
        <v>583</v>
      </c>
      <c r="J966" s="143">
        <v>0</v>
      </c>
      <c r="K966" s="143"/>
      <c r="L966" s="87">
        <v>0</v>
      </c>
      <c r="M966" s="92" t="str">
        <f t="shared" ref="M966:M1029" si="32">+IF(ISERROR(L966/K966),"",L966/K966)</f>
        <v/>
      </c>
      <c r="N966" s="104">
        <v>0</v>
      </c>
      <c r="O966" s="92" t="str">
        <f t="shared" si="31"/>
        <v/>
      </c>
      <c r="T966" s="97"/>
    </row>
    <row r="967" spans="1:20" ht="18" customHeight="1">
      <c r="A967" s="103"/>
      <c r="B967" s="104"/>
      <c r="C967" s="104"/>
      <c r="D967" s="104"/>
      <c r="E967" s="92"/>
      <c r="F967" s="104"/>
      <c r="G967" s="92"/>
      <c r="H967" s="90">
        <v>2130333</v>
      </c>
      <c r="I967" s="90" t="s">
        <v>555</v>
      </c>
      <c r="J967" s="143">
        <v>0</v>
      </c>
      <c r="K967" s="143"/>
      <c r="L967" s="87">
        <v>0</v>
      </c>
      <c r="M967" s="92" t="str">
        <f t="shared" si="32"/>
        <v/>
      </c>
      <c r="N967" s="104">
        <v>0</v>
      </c>
      <c r="O967" s="92" t="str">
        <f t="shared" ref="O967:O1030" si="33">IF(ISERROR(L967/N967-1),"",(L967/N967-1))</f>
        <v/>
      </c>
      <c r="T967" s="97"/>
    </row>
    <row r="968" spans="1:20" ht="18" customHeight="1">
      <c r="A968" s="103"/>
      <c r="B968" s="104"/>
      <c r="C968" s="104"/>
      <c r="D968" s="104"/>
      <c r="E968" s="92"/>
      <c r="F968" s="104"/>
      <c r="G968" s="92"/>
      <c r="H968" s="90">
        <v>2130334</v>
      </c>
      <c r="I968" s="90" t="s">
        <v>584</v>
      </c>
      <c r="J968" s="143">
        <v>0</v>
      </c>
      <c r="K968" s="143"/>
      <c r="L968" s="87">
        <v>0</v>
      </c>
      <c r="M968" s="92" t="str">
        <f t="shared" si="32"/>
        <v/>
      </c>
      <c r="N968" s="104">
        <v>0</v>
      </c>
      <c r="O968" s="92" t="str">
        <f t="shared" si="33"/>
        <v/>
      </c>
      <c r="T968" s="97"/>
    </row>
    <row r="969" spans="1:20" ht="18" customHeight="1">
      <c r="A969" s="103"/>
      <c r="B969" s="104"/>
      <c r="C969" s="104"/>
      <c r="D969" s="104"/>
      <c r="E969" s="92"/>
      <c r="F969" s="104"/>
      <c r="G969" s="92"/>
      <c r="H969" s="90">
        <v>2130335</v>
      </c>
      <c r="I969" s="90" t="s">
        <v>585</v>
      </c>
      <c r="J969" s="143">
        <v>0</v>
      </c>
      <c r="K969" s="143"/>
      <c r="L969" s="87">
        <v>0</v>
      </c>
      <c r="M969" s="92" t="str">
        <f t="shared" si="32"/>
        <v/>
      </c>
      <c r="N969" s="104">
        <v>0</v>
      </c>
      <c r="O969" s="92" t="str">
        <f t="shared" si="33"/>
        <v/>
      </c>
      <c r="T969" s="97"/>
    </row>
    <row r="970" spans="1:20" ht="18" customHeight="1">
      <c r="A970" s="103"/>
      <c r="B970" s="104"/>
      <c r="C970" s="104"/>
      <c r="D970" s="104"/>
      <c r="E970" s="92"/>
      <c r="F970" s="104"/>
      <c r="G970" s="92"/>
      <c r="H970" s="90">
        <v>2130399</v>
      </c>
      <c r="I970" s="90" t="s">
        <v>586</v>
      </c>
      <c r="J970" s="143">
        <v>7506</v>
      </c>
      <c r="K970" s="143"/>
      <c r="L970" s="87">
        <v>95043</v>
      </c>
      <c r="M970" s="92" t="str">
        <f t="shared" si="32"/>
        <v/>
      </c>
      <c r="N970" s="104">
        <v>274004</v>
      </c>
      <c r="O970" s="92">
        <f t="shared" si="33"/>
        <v>-0.65313280098100757</v>
      </c>
      <c r="T970" s="97"/>
    </row>
    <row r="971" spans="1:20" ht="18" customHeight="1">
      <c r="A971" s="103"/>
      <c r="B971" s="104"/>
      <c r="C971" s="104"/>
      <c r="D971" s="104"/>
      <c r="E971" s="92"/>
      <c r="F971" s="104"/>
      <c r="G971" s="92"/>
      <c r="H971" s="90">
        <v>21304</v>
      </c>
      <c r="I971" s="80" t="s">
        <v>587</v>
      </c>
      <c r="J971" s="104"/>
      <c r="K971" s="104"/>
      <c r="L971" s="104"/>
      <c r="M971" s="92" t="str">
        <f t="shared" si="32"/>
        <v/>
      </c>
      <c r="N971" s="104">
        <v>0</v>
      </c>
      <c r="O971" s="92" t="str">
        <f t="shared" si="33"/>
        <v/>
      </c>
      <c r="T971" s="97"/>
    </row>
    <row r="972" spans="1:20" ht="18" customHeight="1">
      <c r="A972" s="103"/>
      <c r="B972" s="104"/>
      <c r="C972" s="104"/>
      <c r="D972" s="104"/>
      <c r="E972" s="92"/>
      <c r="F972" s="104"/>
      <c r="G972" s="92"/>
      <c r="H972" s="90">
        <v>2130401</v>
      </c>
      <c r="I972" s="90" t="s">
        <v>1110</v>
      </c>
      <c r="J972" s="104"/>
      <c r="K972" s="104"/>
      <c r="L972" s="104"/>
      <c r="M972" s="92" t="str">
        <f t="shared" si="32"/>
        <v/>
      </c>
      <c r="N972" s="104">
        <v>0</v>
      </c>
      <c r="O972" s="92" t="str">
        <f t="shared" si="33"/>
        <v/>
      </c>
      <c r="T972" s="97"/>
    </row>
    <row r="973" spans="1:20" ht="18" customHeight="1">
      <c r="A973" s="103"/>
      <c r="B973" s="104"/>
      <c r="C973" s="104"/>
      <c r="D973" s="104"/>
      <c r="E973" s="92"/>
      <c r="F973" s="104"/>
      <c r="G973" s="92"/>
      <c r="H973" s="90">
        <v>2130402</v>
      </c>
      <c r="I973" s="90" t="s">
        <v>1111</v>
      </c>
      <c r="J973" s="104"/>
      <c r="K973" s="104"/>
      <c r="L973" s="104"/>
      <c r="M973" s="92" t="str">
        <f t="shared" si="32"/>
        <v/>
      </c>
      <c r="N973" s="104">
        <v>0</v>
      </c>
      <c r="O973" s="92" t="str">
        <f t="shared" si="33"/>
        <v/>
      </c>
      <c r="T973" s="97"/>
    </row>
    <row r="974" spans="1:20" ht="18" customHeight="1">
      <c r="A974" s="103"/>
      <c r="B974" s="104"/>
      <c r="C974" s="104"/>
      <c r="D974" s="104"/>
      <c r="E974" s="92"/>
      <c r="F974" s="104"/>
      <c r="G974" s="92"/>
      <c r="H974" s="90">
        <v>2130403</v>
      </c>
      <c r="I974" s="90" t="s">
        <v>1112</v>
      </c>
      <c r="J974" s="104"/>
      <c r="K974" s="104"/>
      <c r="L974" s="104"/>
      <c r="M974" s="92" t="str">
        <f t="shared" si="32"/>
        <v/>
      </c>
      <c r="N974" s="104">
        <v>0</v>
      </c>
      <c r="O974" s="92" t="str">
        <f t="shared" si="33"/>
        <v/>
      </c>
      <c r="T974" s="97"/>
    </row>
    <row r="975" spans="1:20" ht="18" customHeight="1">
      <c r="A975" s="103"/>
      <c r="B975" s="104"/>
      <c r="C975" s="104"/>
      <c r="D975" s="104"/>
      <c r="E975" s="92"/>
      <c r="F975" s="104"/>
      <c r="G975" s="92"/>
      <c r="H975" s="90">
        <v>2130404</v>
      </c>
      <c r="I975" s="90" t="s">
        <v>588</v>
      </c>
      <c r="J975" s="104"/>
      <c r="K975" s="104"/>
      <c r="L975" s="104"/>
      <c r="M975" s="92" t="str">
        <f t="shared" si="32"/>
        <v/>
      </c>
      <c r="N975" s="104">
        <v>0</v>
      </c>
      <c r="O975" s="92" t="str">
        <f t="shared" si="33"/>
        <v/>
      </c>
      <c r="T975" s="97"/>
    </row>
    <row r="976" spans="1:20" ht="18" customHeight="1">
      <c r="A976" s="103"/>
      <c r="B976" s="104"/>
      <c r="C976" s="104"/>
      <c r="D976" s="104"/>
      <c r="E976" s="92"/>
      <c r="F976" s="104"/>
      <c r="G976" s="92"/>
      <c r="H976" s="90">
        <v>2130405</v>
      </c>
      <c r="I976" s="90" t="s">
        <v>589</v>
      </c>
      <c r="J976" s="104"/>
      <c r="K976" s="104"/>
      <c r="L976" s="104"/>
      <c r="M976" s="92" t="str">
        <f t="shared" si="32"/>
        <v/>
      </c>
      <c r="N976" s="104">
        <v>0</v>
      </c>
      <c r="O976" s="92" t="str">
        <f t="shared" si="33"/>
        <v/>
      </c>
      <c r="T976" s="97"/>
    </row>
    <row r="977" spans="1:20" ht="18" customHeight="1">
      <c r="A977" s="103"/>
      <c r="B977" s="104"/>
      <c r="C977" s="104"/>
      <c r="D977" s="104"/>
      <c r="E977" s="92"/>
      <c r="F977" s="104"/>
      <c r="G977" s="92"/>
      <c r="H977" s="90">
        <v>2130406</v>
      </c>
      <c r="I977" s="90" t="s">
        <v>590</v>
      </c>
      <c r="J977" s="104"/>
      <c r="K977" s="104"/>
      <c r="L977" s="104"/>
      <c r="M977" s="92" t="str">
        <f t="shared" si="32"/>
        <v/>
      </c>
      <c r="N977" s="104">
        <v>0</v>
      </c>
      <c r="O977" s="92" t="str">
        <f t="shared" si="33"/>
        <v/>
      </c>
      <c r="T977" s="97"/>
    </row>
    <row r="978" spans="1:20" ht="18" customHeight="1">
      <c r="A978" s="103"/>
      <c r="B978" s="104"/>
      <c r="C978" s="104"/>
      <c r="D978" s="104"/>
      <c r="E978" s="92"/>
      <c r="F978" s="104"/>
      <c r="G978" s="92"/>
      <c r="H978" s="90">
        <v>2130407</v>
      </c>
      <c r="I978" s="90" t="s">
        <v>591</v>
      </c>
      <c r="J978" s="104"/>
      <c r="K978" s="104"/>
      <c r="L978" s="104"/>
      <c r="M978" s="92" t="str">
        <f t="shared" si="32"/>
        <v/>
      </c>
      <c r="N978" s="104">
        <v>0</v>
      </c>
      <c r="O978" s="92" t="str">
        <f t="shared" si="33"/>
        <v/>
      </c>
      <c r="T978" s="97"/>
    </row>
    <row r="979" spans="1:20" ht="18" customHeight="1">
      <c r="A979" s="103"/>
      <c r="B979" s="104"/>
      <c r="C979" s="104"/>
      <c r="D979" s="104"/>
      <c r="E979" s="92"/>
      <c r="F979" s="104"/>
      <c r="G979" s="92"/>
      <c r="H979" s="90">
        <v>2130408</v>
      </c>
      <c r="I979" s="90" t="s">
        <v>592</v>
      </c>
      <c r="J979" s="104"/>
      <c r="K979" s="104"/>
      <c r="L979" s="104"/>
      <c r="M979" s="92" t="str">
        <f t="shared" si="32"/>
        <v/>
      </c>
      <c r="N979" s="104">
        <v>0</v>
      </c>
      <c r="O979" s="92" t="str">
        <f t="shared" si="33"/>
        <v/>
      </c>
      <c r="T979" s="97"/>
    </row>
    <row r="980" spans="1:20" ht="18" customHeight="1">
      <c r="A980" s="103"/>
      <c r="B980" s="104"/>
      <c r="C980" s="104"/>
      <c r="D980" s="104"/>
      <c r="E980" s="92"/>
      <c r="F980" s="104"/>
      <c r="G980" s="92"/>
      <c r="H980" s="90">
        <v>2130409</v>
      </c>
      <c r="I980" s="90" t="s">
        <v>593</v>
      </c>
      <c r="J980" s="104"/>
      <c r="K980" s="104"/>
      <c r="L980" s="104"/>
      <c r="M980" s="92" t="str">
        <f t="shared" si="32"/>
        <v/>
      </c>
      <c r="N980" s="104">
        <v>0</v>
      </c>
      <c r="O980" s="92" t="str">
        <f t="shared" si="33"/>
        <v/>
      </c>
      <c r="T980" s="97"/>
    </row>
    <row r="981" spans="1:20" ht="18" customHeight="1">
      <c r="A981" s="103"/>
      <c r="B981" s="104"/>
      <c r="C981" s="104"/>
      <c r="D981" s="104"/>
      <c r="E981" s="92"/>
      <c r="F981" s="104"/>
      <c r="G981" s="92"/>
      <c r="H981" s="90">
        <v>2130499</v>
      </c>
      <c r="I981" s="90" t="s">
        <v>594</v>
      </c>
      <c r="J981" s="104"/>
      <c r="K981" s="104"/>
      <c r="L981" s="104"/>
      <c r="M981" s="92" t="str">
        <f t="shared" si="32"/>
        <v/>
      </c>
      <c r="N981" s="104">
        <v>0</v>
      </c>
      <c r="O981" s="92" t="str">
        <f t="shared" si="33"/>
        <v/>
      </c>
      <c r="T981" s="97"/>
    </row>
    <row r="982" spans="1:20" ht="18" customHeight="1">
      <c r="A982" s="103"/>
      <c r="B982" s="104"/>
      <c r="C982" s="104"/>
      <c r="D982" s="104"/>
      <c r="E982" s="92"/>
      <c r="F982" s="104"/>
      <c r="G982" s="92"/>
      <c r="H982" s="90">
        <v>21305</v>
      </c>
      <c r="I982" s="80" t="s">
        <v>595</v>
      </c>
      <c r="J982" s="104"/>
      <c r="K982" s="104"/>
      <c r="L982" s="87">
        <v>15</v>
      </c>
      <c r="M982" s="92" t="str">
        <f t="shared" si="32"/>
        <v/>
      </c>
      <c r="N982" s="104">
        <v>0</v>
      </c>
      <c r="O982" s="92" t="str">
        <f t="shared" si="33"/>
        <v/>
      </c>
      <c r="T982" s="97"/>
    </row>
    <row r="983" spans="1:20" ht="18" customHeight="1">
      <c r="A983" s="103"/>
      <c r="B983" s="104"/>
      <c r="C983" s="104"/>
      <c r="D983" s="104"/>
      <c r="E983" s="92"/>
      <c r="F983" s="104"/>
      <c r="G983" s="92"/>
      <c r="H983" s="90">
        <v>2130501</v>
      </c>
      <c r="I983" s="90" t="s">
        <v>1110</v>
      </c>
      <c r="J983" s="104"/>
      <c r="K983" s="104"/>
      <c r="L983" s="87">
        <v>0</v>
      </c>
      <c r="M983" s="92" t="str">
        <f t="shared" si="32"/>
        <v/>
      </c>
      <c r="N983" s="104">
        <v>0</v>
      </c>
      <c r="O983" s="92" t="str">
        <f t="shared" si="33"/>
        <v/>
      </c>
      <c r="T983" s="97"/>
    </row>
    <row r="984" spans="1:20" ht="18" customHeight="1">
      <c r="A984" s="103"/>
      <c r="B984" s="104"/>
      <c r="C984" s="104"/>
      <c r="D984" s="104"/>
      <c r="E984" s="92"/>
      <c r="F984" s="104"/>
      <c r="G984" s="92"/>
      <c r="H984" s="90">
        <v>2130502</v>
      </c>
      <c r="I984" s="90" t="s">
        <v>1111</v>
      </c>
      <c r="J984" s="104"/>
      <c r="K984" s="104"/>
      <c r="L984" s="87">
        <v>0</v>
      </c>
      <c r="M984" s="92" t="str">
        <f t="shared" si="32"/>
        <v/>
      </c>
      <c r="N984" s="104">
        <v>0</v>
      </c>
      <c r="O984" s="92" t="str">
        <f t="shared" si="33"/>
        <v/>
      </c>
      <c r="T984" s="97"/>
    </row>
    <row r="985" spans="1:20" ht="18" customHeight="1">
      <c r="A985" s="103"/>
      <c r="B985" s="104"/>
      <c r="C985" s="104"/>
      <c r="D985" s="104"/>
      <c r="E985" s="92"/>
      <c r="F985" s="104"/>
      <c r="G985" s="92"/>
      <c r="H985" s="90">
        <v>2130503</v>
      </c>
      <c r="I985" s="90" t="s">
        <v>1112</v>
      </c>
      <c r="J985" s="104"/>
      <c r="K985" s="104"/>
      <c r="L985" s="87">
        <v>0</v>
      </c>
      <c r="M985" s="92" t="str">
        <f t="shared" si="32"/>
        <v/>
      </c>
      <c r="N985" s="104">
        <v>0</v>
      </c>
      <c r="O985" s="92" t="str">
        <f t="shared" si="33"/>
        <v/>
      </c>
      <c r="T985" s="97"/>
    </row>
    <row r="986" spans="1:20" ht="18" customHeight="1">
      <c r="A986" s="103"/>
      <c r="B986" s="104"/>
      <c r="C986" s="104"/>
      <c r="D986" s="104"/>
      <c r="E986" s="92"/>
      <c r="F986" s="104"/>
      <c r="G986" s="92"/>
      <c r="H986" s="90">
        <v>2130504</v>
      </c>
      <c r="I986" s="90" t="s">
        <v>596</v>
      </c>
      <c r="J986" s="104"/>
      <c r="K986" s="104"/>
      <c r="L986" s="87">
        <v>0</v>
      </c>
      <c r="M986" s="92" t="str">
        <f t="shared" si="32"/>
        <v/>
      </c>
      <c r="N986" s="104">
        <v>0</v>
      </c>
      <c r="O986" s="92" t="str">
        <f t="shared" si="33"/>
        <v/>
      </c>
      <c r="T986" s="97"/>
    </row>
    <row r="987" spans="1:20" ht="18" customHeight="1">
      <c r="A987" s="103"/>
      <c r="B987" s="104"/>
      <c r="C987" s="104"/>
      <c r="D987" s="104"/>
      <c r="E987" s="92"/>
      <c r="F987" s="104"/>
      <c r="G987" s="92"/>
      <c r="H987" s="90">
        <v>2130505</v>
      </c>
      <c r="I987" s="90" t="s">
        <v>597</v>
      </c>
      <c r="J987" s="104"/>
      <c r="K987" s="104"/>
      <c r="L987" s="87">
        <v>0</v>
      </c>
      <c r="M987" s="92" t="str">
        <f t="shared" si="32"/>
        <v/>
      </c>
      <c r="N987" s="104">
        <v>0</v>
      </c>
      <c r="O987" s="92" t="str">
        <f t="shared" si="33"/>
        <v/>
      </c>
      <c r="T987" s="97"/>
    </row>
    <row r="988" spans="1:20" ht="18" customHeight="1">
      <c r="A988" s="103"/>
      <c r="B988" s="104"/>
      <c r="C988" s="104"/>
      <c r="D988" s="104"/>
      <c r="E988" s="92"/>
      <c r="F988" s="104"/>
      <c r="G988" s="92"/>
      <c r="H988" s="90">
        <v>2130506</v>
      </c>
      <c r="I988" s="90" t="s">
        <v>598</v>
      </c>
      <c r="J988" s="104"/>
      <c r="K988" s="104"/>
      <c r="L988" s="87">
        <v>0</v>
      </c>
      <c r="M988" s="92" t="str">
        <f t="shared" si="32"/>
        <v/>
      </c>
      <c r="N988" s="104">
        <v>0</v>
      </c>
      <c r="O988" s="92" t="str">
        <f t="shared" si="33"/>
        <v/>
      </c>
      <c r="T988" s="97"/>
    </row>
    <row r="989" spans="1:20" ht="18" customHeight="1">
      <c r="A989" s="103"/>
      <c r="B989" s="104"/>
      <c r="C989" s="104"/>
      <c r="D989" s="104"/>
      <c r="E989" s="92"/>
      <c r="F989" s="104"/>
      <c r="G989" s="92"/>
      <c r="H989" s="90">
        <v>2130507</v>
      </c>
      <c r="I989" s="90" t="s">
        <v>599</v>
      </c>
      <c r="J989" s="104"/>
      <c r="K989" s="104"/>
      <c r="L989" s="87">
        <v>0</v>
      </c>
      <c r="M989" s="92" t="str">
        <f t="shared" si="32"/>
        <v/>
      </c>
      <c r="N989" s="104">
        <v>0</v>
      </c>
      <c r="O989" s="92" t="str">
        <f t="shared" si="33"/>
        <v/>
      </c>
      <c r="T989" s="97"/>
    </row>
    <row r="990" spans="1:20" ht="18" customHeight="1">
      <c r="A990" s="103"/>
      <c r="B990" s="104"/>
      <c r="C990" s="104"/>
      <c r="D990" s="104"/>
      <c r="E990" s="92"/>
      <c r="F990" s="104"/>
      <c r="G990" s="92"/>
      <c r="H990" s="90">
        <v>2130508</v>
      </c>
      <c r="I990" s="90" t="s">
        <v>600</v>
      </c>
      <c r="J990" s="104"/>
      <c r="K990" s="104"/>
      <c r="L990" s="87">
        <v>0</v>
      </c>
      <c r="M990" s="92" t="str">
        <f t="shared" si="32"/>
        <v/>
      </c>
      <c r="N990" s="104">
        <v>0</v>
      </c>
      <c r="O990" s="92" t="str">
        <f t="shared" si="33"/>
        <v/>
      </c>
      <c r="T990" s="97"/>
    </row>
    <row r="991" spans="1:20" ht="18" customHeight="1">
      <c r="A991" s="103"/>
      <c r="B991" s="104"/>
      <c r="C991" s="104"/>
      <c r="D991" s="104"/>
      <c r="E991" s="92"/>
      <c r="F991" s="104"/>
      <c r="G991" s="92"/>
      <c r="H991" s="90">
        <v>2130550</v>
      </c>
      <c r="I991" s="90" t="s">
        <v>601</v>
      </c>
      <c r="J991" s="104"/>
      <c r="K991" s="104"/>
      <c r="L991" s="87">
        <v>0</v>
      </c>
      <c r="M991" s="92" t="str">
        <f t="shared" si="32"/>
        <v/>
      </c>
      <c r="N991" s="104">
        <v>0</v>
      </c>
      <c r="O991" s="92" t="str">
        <f t="shared" si="33"/>
        <v/>
      </c>
      <c r="T991" s="97"/>
    </row>
    <row r="992" spans="1:20" ht="18" customHeight="1">
      <c r="A992" s="103"/>
      <c r="B992" s="104"/>
      <c r="C992" s="104"/>
      <c r="D992" s="104"/>
      <c r="E992" s="92"/>
      <c r="F992" s="104"/>
      <c r="G992" s="92"/>
      <c r="H992" s="90">
        <v>2130599</v>
      </c>
      <c r="I992" s="90" t="s">
        <v>602</v>
      </c>
      <c r="J992" s="104"/>
      <c r="K992" s="104"/>
      <c r="L992" s="87">
        <v>15</v>
      </c>
      <c r="M992" s="92" t="str">
        <f t="shared" si="32"/>
        <v/>
      </c>
      <c r="N992" s="104">
        <v>0</v>
      </c>
      <c r="O992" s="92" t="str">
        <f t="shared" si="33"/>
        <v/>
      </c>
      <c r="T992" s="97"/>
    </row>
    <row r="993" spans="1:20" ht="18" customHeight="1">
      <c r="A993" s="103"/>
      <c r="B993" s="104"/>
      <c r="C993" s="104"/>
      <c r="D993" s="104"/>
      <c r="E993" s="92"/>
      <c r="F993" s="104"/>
      <c r="G993" s="92"/>
      <c r="H993" s="90">
        <v>21306</v>
      </c>
      <c r="I993" s="80" t="s">
        <v>603</v>
      </c>
      <c r="J993" s="104"/>
      <c r="K993" s="104"/>
      <c r="L993" s="104"/>
      <c r="M993" s="92" t="str">
        <f t="shared" si="32"/>
        <v/>
      </c>
      <c r="N993" s="104">
        <v>0</v>
      </c>
      <c r="O993" s="92" t="str">
        <f t="shared" si="33"/>
        <v/>
      </c>
      <c r="T993" s="97"/>
    </row>
    <row r="994" spans="1:20" ht="18" customHeight="1">
      <c r="A994" s="103"/>
      <c r="B994" s="104"/>
      <c r="C994" s="104"/>
      <c r="D994" s="104"/>
      <c r="E994" s="92"/>
      <c r="F994" s="104"/>
      <c r="G994" s="92"/>
      <c r="H994" s="90">
        <v>2130601</v>
      </c>
      <c r="I994" s="90" t="s">
        <v>170</v>
      </c>
      <c r="J994" s="104"/>
      <c r="K994" s="104"/>
      <c r="L994" s="104"/>
      <c r="M994" s="92" t="str">
        <f t="shared" si="32"/>
        <v/>
      </c>
      <c r="N994" s="104">
        <v>0</v>
      </c>
      <c r="O994" s="92" t="str">
        <f t="shared" si="33"/>
        <v/>
      </c>
      <c r="T994" s="97"/>
    </row>
    <row r="995" spans="1:20" ht="18" customHeight="1">
      <c r="A995" s="103"/>
      <c r="B995" s="104"/>
      <c r="C995" s="104"/>
      <c r="D995" s="104"/>
      <c r="E995" s="92"/>
      <c r="F995" s="104"/>
      <c r="G995" s="92"/>
      <c r="H995" s="90">
        <v>2130602</v>
      </c>
      <c r="I995" s="90" t="s">
        <v>604</v>
      </c>
      <c r="J995" s="104"/>
      <c r="K995" s="104"/>
      <c r="L995" s="104"/>
      <c r="M995" s="92" t="str">
        <f t="shared" si="32"/>
        <v/>
      </c>
      <c r="N995" s="104">
        <v>0</v>
      </c>
      <c r="O995" s="92" t="str">
        <f t="shared" si="33"/>
        <v/>
      </c>
      <c r="T995" s="97"/>
    </row>
    <row r="996" spans="1:20" ht="18" customHeight="1">
      <c r="A996" s="103"/>
      <c r="B996" s="104"/>
      <c r="C996" s="104"/>
      <c r="D996" s="104"/>
      <c r="E996" s="92"/>
      <c r="F996" s="104"/>
      <c r="G996" s="92"/>
      <c r="H996" s="90">
        <v>2130603</v>
      </c>
      <c r="I996" s="90" t="s">
        <v>605</v>
      </c>
      <c r="J996" s="104"/>
      <c r="K996" s="104"/>
      <c r="L996" s="104"/>
      <c r="M996" s="92" t="str">
        <f t="shared" si="32"/>
        <v/>
      </c>
      <c r="N996" s="104">
        <v>0</v>
      </c>
      <c r="O996" s="92" t="str">
        <f t="shared" si="33"/>
        <v/>
      </c>
      <c r="T996" s="97"/>
    </row>
    <row r="997" spans="1:20" ht="18" customHeight="1">
      <c r="A997" s="103"/>
      <c r="B997" s="104"/>
      <c r="C997" s="104"/>
      <c r="D997" s="104"/>
      <c r="E997" s="92"/>
      <c r="F997" s="104"/>
      <c r="G997" s="92"/>
      <c r="H997" s="90">
        <v>2130604</v>
      </c>
      <c r="I997" s="90" t="s">
        <v>606</v>
      </c>
      <c r="J997" s="104"/>
      <c r="K997" s="104"/>
      <c r="L997" s="104"/>
      <c r="M997" s="92" t="str">
        <f t="shared" si="32"/>
        <v/>
      </c>
      <c r="N997" s="104">
        <v>0</v>
      </c>
      <c r="O997" s="92" t="str">
        <f t="shared" si="33"/>
        <v/>
      </c>
      <c r="T997" s="97"/>
    </row>
    <row r="998" spans="1:20" ht="18" customHeight="1">
      <c r="A998" s="103"/>
      <c r="B998" s="104"/>
      <c r="C998" s="104"/>
      <c r="D998" s="104"/>
      <c r="E998" s="92"/>
      <c r="F998" s="104"/>
      <c r="G998" s="92"/>
      <c r="H998" s="90">
        <v>2130699</v>
      </c>
      <c r="I998" s="90" t="s">
        <v>607</v>
      </c>
      <c r="J998" s="104"/>
      <c r="K998" s="104"/>
      <c r="L998" s="104"/>
      <c r="M998" s="92" t="str">
        <f t="shared" si="32"/>
        <v/>
      </c>
      <c r="N998" s="104">
        <v>0</v>
      </c>
      <c r="O998" s="92" t="str">
        <f t="shared" si="33"/>
        <v/>
      </c>
      <c r="T998" s="97"/>
    </row>
    <row r="999" spans="1:20" ht="18" customHeight="1">
      <c r="A999" s="103"/>
      <c r="B999" s="104"/>
      <c r="C999" s="104"/>
      <c r="D999" s="104"/>
      <c r="E999" s="92"/>
      <c r="F999" s="104"/>
      <c r="G999" s="92"/>
      <c r="H999" s="90">
        <v>21307</v>
      </c>
      <c r="I999" s="80" t="s">
        <v>608</v>
      </c>
      <c r="J999" s="104"/>
      <c r="K999" s="104"/>
      <c r="L999" s="104"/>
      <c r="M999" s="92" t="str">
        <f t="shared" si="32"/>
        <v/>
      </c>
      <c r="N999" s="104">
        <v>0</v>
      </c>
      <c r="O999" s="92" t="str">
        <f t="shared" si="33"/>
        <v/>
      </c>
      <c r="T999" s="97"/>
    </row>
    <row r="1000" spans="1:20" ht="18" customHeight="1">
      <c r="A1000" s="103"/>
      <c r="B1000" s="104"/>
      <c r="C1000" s="104"/>
      <c r="D1000" s="104"/>
      <c r="E1000" s="92"/>
      <c r="F1000" s="104"/>
      <c r="G1000" s="92"/>
      <c r="H1000" s="90">
        <v>2130701</v>
      </c>
      <c r="I1000" s="90" t="s">
        <v>609</v>
      </c>
      <c r="J1000" s="104"/>
      <c r="K1000" s="104"/>
      <c r="L1000" s="104"/>
      <c r="M1000" s="92" t="str">
        <f t="shared" si="32"/>
        <v/>
      </c>
      <c r="N1000" s="104">
        <v>0</v>
      </c>
      <c r="O1000" s="92" t="str">
        <f t="shared" si="33"/>
        <v/>
      </c>
      <c r="T1000" s="97"/>
    </row>
    <row r="1001" spans="1:20" ht="18" customHeight="1">
      <c r="A1001" s="103"/>
      <c r="B1001" s="104"/>
      <c r="C1001" s="104"/>
      <c r="D1001" s="104"/>
      <c r="E1001" s="92"/>
      <c r="F1001" s="104"/>
      <c r="G1001" s="92"/>
      <c r="H1001" s="90">
        <v>2130704</v>
      </c>
      <c r="I1001" s="90" t="s">
        <v>610</v>
      </c>
      <c r="J1001" s="104"/>
      <c r="K1001" s="104"/>
      <c r="L1001" s="104"/>
      <c r="M1001" s="92" t="str">
        <f t="shared" si="32"/>
        <v/>
      </c>
      <c r="N1001" s="104">
        <v>0</v>
      </c>
      <c r="O1001" s="92" t="str">
        <f t="shared" si="33"/>
        <v/>
      </c>
      <c r="T1001" s="97"/>
    </row>
    <row r="1002" spans="1:20" ht="18" customHeight="1">
      <c r="A1002" s="103"/>
      <c r="B1002" s="104"/>
      <c r="C1002" s="104"/>
      <c r="D1002" s="104"/>
      <c r="E1002" s="92"/>
      <c r="F1002" s="104"/>
      <c r="G1002" s="92"/>
      <c r="H1002" s="90">
        <v>2130705</v>
      </c>
      <c r="I1002" s="90" t="s">
        <v>611</v>
      </c>
      <c r="J1002" s="104"/>
      <c r="K1002" s="104"/>
      <c r="L1002" s="104"/>
      <c r="M1002" s="92" t="str">
        <f t="shared" si="32"/>
        <v/>
      </c>
      <c r="N1002" s="104">
        <v>0</v>
      </c>
      <c r="O1002" s="92" t="str">
        <f t="shared" si="33"/>
        <v/>
      </c>
      <c r="T1002" s="97"/>
    </row>
    <row r="1003" spans="1:20" ht="18" customHeight="1">
      <c r="A1003" s="103"/>
      <c r="B1003" s="104"/>
      <c r="C1003" s="104"/>
      <c r="D1003" s="104"/>
      <c r="E1003" s="92"/>
      <c r="F1003" s="104"/>
      <c r="G1003" s="92"/>
      <c r="H1003" s="90">
        <v>2130706</v>
      </c>
      <c r="I1003" s="90" t="s">
        <v>612</v>
      </c>
      <c r="J1003" s="104"/>
      <c r="K1003" s="104"/>
      <c r="L1003" s="104"/>
      <c r="M1003" s="92" t="str">
        <f t="shared" si="32"/>
        <v/>
      </c>
      <c r="N1003" s="104">
        <v>0</v>
      </c>
      <c r="O1003" s="92" t="str">
        <f t="shared" si="33"/>
        <v/>
      </c>
      <c r="T1003" s="97"/>
    </row>
    <row r="1004" spans="1:20" ht="18" customHeight="1">
      <c r="A1004" s="103"/>
      <c r="B1004" s="104"/>
      <c r="C1004" s="104"/>
      <c r="D1004" s="104"/>
      <c r="E1004" s="92"/>
      <c r="F1004" s="104"/>
      <c r="G1004" s="92"/>
      <c r="H1004" s="90">
        <v>2130707</v>
      </c>
      <c r="I1004" s="90" t="s">
        <v>613</v>
      </c>
      <c r="J1004" s="104"/>
      <c r="K1004" s="104"/>
      <c r="L1004" s="104"/>
      <c r="M1004" s="92" t="str">
        <f t="shared" si="32"/>
        <v/>
      </c>
      <c r="N1004" s="104">
        <v>0</v>
      </c>
      <c r="O1004" s="92" t="str">
        <f t="shared" si="33"/>
        <v/>
      </c>
      <c r="T1004" s="97"/>
    </row>
    <row r="1005" spans="1:20" ht="18" customHeight="1">
      <c r="A1005" s="103"/>
      <c r="B1005" s="104"/>
      <c r="C1005" s="104"/>
      <c r="D1005" s="104"/>
      <c r="E1005" s="92"/>
      <c r="F1005" s="104"/>
      <c r="G1005" s="92"/>
      <c r="H1005" s="90">
        <v>2130799</v>
      </c>
      <c r="I1005" s="90" t="s">
        <v>614</v>
      </c>
      <c r="J1005" s="104"/>
      <c r="K1005" s="104"/>
      <c r="L1005" s="104"/>
      <c r="M1005" s="92" t="str">
        <f t="shared" si="32"/>
        <v/>
      </c>
      <c r="N1005" s="104">
        <v>0</v>
      </c>
      <c r="O1005" s="92" t="str">
        <f t="shared" si="33"/>
        <v/>
      </c>
      <c r="T1005" s="97"/>
    </row>
    <row r="1006" spans="1:20" ht="18" customHeight="1">
      <c r="A1006" s="103"/>
      <c r="B1006" s="104"/>
      <c r="C1006" s="104"/>
      <c r="D1006" s="104"/>
      <c r="E1006" s="92"/>
      <c r="F1006" s="104"/>
      <c r="G1006" s="92"/>
      <c r="H1006" s="90">
        <v>21308</v>
      </c>
      <c r="I1006" s="80" t="s">
        <v>615</v>
      </c>
      <c r="J1006" s="108">
        <v>5468</v>
      </c>
      <c r="K1006" s="647">
        <v>3974</v>
      </c>
      <c r="L1006" s="104"/>
      <c r="M1006" s="92">
        <f t="shared" si="32"/>
        <v>0</v>
      </c>
      <c r="N1006" s="104">
        <v>0</v>
      </c>
      <c r="O1006" s="92" t="str">
        <f t="shared" si="33"/>
        <v/>
      </c>
      <c r="P1006" s="75" t="s">
        <v>615</v>
      </c>
      <c r="Q1006" s="63">
        <v>7811</v>
      </c>
      <c r="R1006" s="63">
        <v>0</v>
      </c>
      <c r="S1006" s="63">
        <v>0</v>
      </c>
      <c r="T1006" s="97"/>
    </row>
    <row r="1007" spans="1:20" ht="18" customHeight="1">
      <c r="A1007" s="103"/>
      <c r="B1007" s="104"/>
      <c r="C1007" s="104"/>
      <c r="D1007" s="104"/>
      <c r="E1007" s="92"/>
      <c r="F1007" s="104"/>
      <c r="G1007" s="92"/>
      <c r="H1007" s="90">
        <v>2130801</v>
      </c>
      <c r="I1007" s="90" t="s">
        <v>616</v>
      </c>
      <c r="J1007" s="143">
        <v>5468</v>
      </c>
      <c r="K1007" s="143"/>
      <c r="L1007" s="104"/>
      <c r="M1007" s="92" t="str">
        <f t="shared" si="32"/>
        <v/>
      </c>
      <c r="N1007" s="104">
        <v>0</v>
      </c>
      <c r="O1007" s="92" t="str">
        <f t="shared" si="33"/>
        <v/>
      </c>
      <c r="P1007" s="75" t="s">
        <v>1040</v>
      </c>
      <c r="Q1007" s="63">
        <v>0</v>
      </c>
      <c r="R1007" s="63">
        <v>2206</v>
      </c>
      <c r="S1007" s="63">
        <v>2206</v>
      </c>
      <c r="T1007" s="97"/>
    </row>
    <row r="1008" spans="1:20" ht="18" customHeight="1">
      <c r="A1008" s="103"/>
      <c r="B1008" s="104"/>
      <c r="C1008" s="104"/>
      <c r="D1008" s="104"/>
      <c r="E1008" s="92"/>
      <c r="F1008" s="104"/>
      <c r="G1008" s="92"/>
      <c r="H1008" s="90">
        <v>2130802</v>
      </c>
      <c r="I1008" s="90" t="s">
        <v>617</v>
      </c>
      <c r="J1008" s="104"/>
      <c r="K1008" s="104"/>
      <c r="L1008" s="104"/>
      <c r="M1008" s="92" t="str">
        <f t="shared" si="32"/>
        <v/>
      </c>
      <c r="N1008" s="104">
        <v>0</v>
      </c>
      <c r="O1008" s="92" t="str">
        <f t="shared" si="33"/>
        <v/>
      </c>
      <c r="P1008" s="75" t="s">
        <v>622</v>
      </c>
      <c r="Q1008" s="63">
        <v>1168077</v>
      </c>
      <c r="R1008" s="63">
        <v>2808274</v>
      </c>
      <c r="S1008" s="63">
        <v>2760407</v>
      </c>
      <c r="T1008" s="97"/>
    </row>
    <row r="1009" spans="1:21" ht="18" customHeight="1">
      <c r="A1009" s="103"/>
      <c r="B1009" s="104"/>
      <c r="C1009" s="104"/>
      <c r="D1009" s="104"/>
      <c r="E1009" s="92"/>
      <c r="F1009" s="104"/>
      <c r="G1009" s="92"/>
      <c r="H1009" s="90">
        <v>2130899</v>
      </c>
      <c r="I1009" s="90" t="s">
        <v>618</v>
      </c>
      <c r="J1009" s="104"/>
      <c r="K1009" s="104"/>
      <c r="L1009" s="104"/>
      <c r="M1009" s="92" t="str">
        <f t="shared" si="32"/>
        <v/>
      </c>
      <c r="N1009" s="104">
        <v>0</v>
      </c>
      <c r="O1009" s="92" t="str">
        <f t="shared" si="33"/>
        <v/>
      </c>
      <c r="P1009" s="75" t="s">
        <v>623</v>
      </c>
      <c r="Q1009" s="63">
        <v>134425</v>
      </c>
      <c r="R1009" s="63">
        <v>137814</v>
      </c>
      <c r="S1009" s="63">
        <v>133610</v>
      </c>
      <c r="T1009" s="97"/>
    </row>
    <row r="1010" spans="1:21" ht="18" customHeight="1">
      <c r="A1010" s="103"/>
      <c r="B1010" s="104"/>
      <c r="C1010" s="104"/>
      <c r="D1010" s="104"/>
      <c r="E1010" s="92"/>
      <c r="F1010" s="104"/>
      <c r="G1010" s="92"/>
      <c r="H1010" s="90">
        <v>21399</v>
      </c>
      <c r="I1010" s="80" t="s">
        <v>619</v>
      </c>
      <c r="J1010" s="108">
        <f>-500000+527846</f>
        <v>27846</v>
      </c>
      <c r="K1010" s="647">
        <v>8701</v>
      </c>
      <c r="L1010" s="87">
        <v>6</v>
      </c>
      <c r="M1010" s="92">
        <f t="shared" si="32"/>
        <v>6.8957591081484889E-4</v>
      </c>
      <c r="N1010" s="104">
        <v>2206</v>
      </c>
      <c r="O1010" s="92">
        <f t="shared" si="33"/>
        <v>-0.99728014505893015</v>
      </c>
      <c r="P1010" s="75" t="s">
        <v>650</v>
      </c>
      <c r="Q1010" s="63">
        <v>0</v>
      </c>
      <c r="R1010" s="63">
        <v>8</v>
      </c>
      <c r="S1010" s="63">
        <v>8</v>
      </c>
      <c r="T1010" s="97"/>
    </row>
    <row r="1011" spans="1:21" ht="18" customHeight="1">
      <c r="A1011" s="103"/>
      <c r="B1011" s="104"/>
      <c r="C1011" s="104"/>
      <c r="D1011" s="104"/>
      <c r="E1011" s="92"/>
      <c r="F1011" s="104"/>
      <c r="G1011" s="92"/>
      <c r="H1011" s="90">
        <v>2139901</v>
      </c>
      <c r="I1011" s="90" t="s">
        <v>620</v>
      </c>
      <c r="J1011" s="143">
        <v>0</v>
      </c>
      <c r="K1011" s="143"/>
      <c r="L1011" s="87">
        <v>0</v>
      </c>
      <c r="M1011" s="92" t="str">
        <f t="shared" si="32"/>
        <v/>
      </c>
      <c r="N1011" s="104">
        <v>0</v>
      </c>
      <c r="O1011" s="92" t="str">
        <f t="shared" si="33"/>
        <v/>
      </c>
      <c r="P1011" s="75" t="s">
        <v>656</v>
      </c>
      <c r="Q1011" s="63">
        <v>0</v>
      </c>
      <c r="R1011" s="63">
        <v>11006</v>
      </c>
      <c r="S1011" s="63">
        <v>11006</v>
      </c>
      <c r="T1011" s="97"/>
    </row>
    <row r="1012" spans="1:21" ht="18" customHeight="1">
      <c r="A1012" s="103"/>
      <c r="B1012" s="104"/>
      <c r="C1012" s="104"/>
      <c r="D1012" s="104"/>
      <c r="E1012" s="92"/>
      <c r="F1012" s="104"/>
      <c r="G1012" s="92"/>
      <c r="H1012" s="90">
        <v>2139999</v>
      </c>
      <c r="I1012" s="90" t="s">
        <v>621</v>
      </c>
      <c r="J1012" s="143">
        <f>-500000+527846</f>
        <v>27846</v>
      </c>
      <c r="K1012" s="143"/>
      <c r="L1012" s="87">
        <v>6</v>
      </c>
      <c r="M1012" s="92" t="str">
        <f t="shared" si="32"/>
        <v/>
      </c>
      <c r="N1012" s="104">
        <v>2206</v>
      </c>
      <c r="O1012" s="92">
        <f t="shared" si="33"/>
        <v>-0.99728014505893015</v>
      </c>
      <c r="P1012" s="75" t="s">
        <v>664</v>
      </c>
      <c r="Q1012" s="63">
        <v>772252</v>
      </c>
      <c r="R1012" s="63">
        <v>228215</v>
      </c>
      <c r="S1012" s="63">
        <v>193752</v>
      </c>
      <c r="T1012" s="97"/>
    </row>
    <row r="1013" spans="1:21" s="112" customFormat="1" ht="18" customHeight="1">
      <c r="A1013" s="111"/>
      <c r="B1013" s="109"/>
      <c r="C1013" s="109"/>
      <c r="D1013" s="109"/>
      <c r="E1013" s="82"/>
      <c r="F1013" s="109"/>
      <c r="G1013" s="82"/>
      <c r="H1013" s="80">
        <v>214</v>
      </c>
      <c r="I1013" s="80" t="s">
        <v>622</v>
      </c>
      <c r="J1013" s="110">
        <f>-500000+4187829</f>
        <v>3687829</v>
      </c>
      <c r="K1013" s="656">
        <v>10279165</v>
      </c>
      <c r="L1013" s="77">
        <v>10219259</v>
      </c>
      <c r="M1013" s="82">
        <f t="shared" si="32"/>
        <v>0.99417209471781021</v>
      </c>
      <c r="N1013" s="109">
        <v>2760407</v>
      </c>
      <c r="O1013" s="82">
        <f t="shared" si="33"/>
        <v>2.702084149185247</v>
      </c>
      <c r="P1013" s="84" t="s">
        <v>669</v>
      </c>
      <c r="Q1013" s="112">
        <v>0</v>
      </c>
      <c r="R1013" s="112">
        <v>75</v>
      </c>
      <c r="S1013" s="112">
        <v>75</v>
      </c>
      <c r="T1013" s="96"/>
    </row>
    <row r="1014" spans="1:21" ht="18" customHeight="1">
      <c r="A1014" s="103"/>
      <c r="B1014" s="104"/>
      <c r="C1014" s="104"/>
      <c r="D1014" s="104"/>
      <c r="E1014" s="92"/>
      <c r="F1014" s="104"/>
      <c r="G1014" s="92"/>
      <c r="H1014" s="90">
        <v>21401</v>
      </c>
      <c r="I1014" s="80" t="s">
        <v>623</v>
      </c>
      <c r="J1014" s="143">
        <v>357486</v>
      </c>
      <c r="K1014" s="647">
        <v>402401</v>
      </c>
      <c r="L1014" s="87">
        <v>387595</v>
      </c>
      <c r="M1014" s="92">
        <f t="shared" si="32"/>
        <v>0.96320585684429216</v>
      </c>
      <c r="N1014" s="104">
        <v>133610</v>
      </c>
      <c r="O1014" s="92">
        <f t="shared" si="33"/>
        <v>1.9009430431853902</v>
      </c>
      <c r="P1014" s="75" t="s">
        <v>673</v>
      </c>
      <c r="Q1014" s="63">
        <v>200</v>
      </c>
      <c r="R1014" s="63">
        <v>8206</v>
      </c>
      <c r="S1014" s="63">
        <v>6</v>
      </c>
      <c r="T1014" s="96" t="s">
        <v>1071</v>
      </c>
      <c r="U1014" s="63">
        <v>802966</v>
      </c>
    </row>
    <row r="1015" spans="1:21" ht="18" customHeight="1">
      <c r="A1015" s="103"/>
      <c r="B1015" s="104"/>
      <c r="C1015" s="104"/>
      <c r="D1015" s="104"/>
      <c r="E1015" s="92"/>
      <c r="F1015" s="104"/>
      <c r="G1015" s="92"/>
      <c r="H1015" s="90">
        <v>2140101</v>
      </c>
      <c r="I1015" s="90" t="s">
        <v>1110</v>
      </c>
      <c r="J1015" s="143">
        <v>27156</v>
      </c>
      <c r="K1015" s="143"/>
      <c r="L1015" s="87">
        <v>35043</v>
      </c>
      <c r="M1015" s="92" t="str">
        <f t="shared" si="32"/>
        <v/>
      </c>
      <c r="N1015" s="104">
        <v>25989</v>
      </c>
      <c r="O1015" s="92">
        <f t="shared" si="33"/>
        <v>0.34837815999076538</v>
      </c>
      <c r="P1015" s="75" t="s">
        <v>1041</v>
      </c>
      <c r="Q1015" s="63">
        <v>261200</v>
      </c>
      <c r="R1015" s="63">
        <v>2422950</v>
      </c>
      <c r="S1015" s="63">
        <v>2421950</v>
      </c>
      <c r="T1015" s="97" t="s">
        <v>623</v>
      </c>
      <c r="U1015" s="63">
        <v>131146</v>
      </c>
    </row>
    <row r="1016" spans="1:21" ht="18" customHeight="1">
      <c r="A1016" s="103"/>
      <c r="B1016" s="104"/>
      <c r="C1016" s="104"/>
      <c r="D1016" s="104"/>
      <c r="E1016" s="92"/>
      <c r="F1016" s="104"/>
      <c r="G1016" s="92"/>
      <c r="H1016" s="90">
        <v>2140102</v>
      </c>
      <c r="I1016" s="90" t="s">
        <v>1111</v>
      </c>
      <c r="J1016" s="143">
        <v>0</v>
      </c>
      <c r="K1016" s="143"/>
      <c r="L1016" s="87">
        <v>0</v>
      </c>
      <c r="M1016" s="92" t="str">
        <f t="shared" si="32"/>
        <v/>
      </c>
      <c r="N1016" s="104">
        <v>0</v>
      </c>
      <c r="O1016" s="92" t="str">
        <f t="shared" si="33"/>
        <v/>
      </c>
      <c r="P1016" s="75" t="s">
        <v>681</v>
      </c>
      <c r="Q1016" s="63">
        <v>572738</v>
      </c>
      <c r="R1016" s="63">
        <v>896865</v>
      </c>
      <c r="S1016" s="63">
        <v>830202</v>
      </c>
      <c r="T1016" s="97" t="s">
        <v>650</v>
      </c>
      <c r="U1016" s="63">
        <v>20</v>
      </c>
    </row>
    <row r="1017" spans="1:21" ht="18" customHeight="1">
      <c r="A1017" s="103"/>
      <c r="B1017" s="104"/>
      <c r="C1017" s="104"/>
      <c r="D1017" s="104"/>
      <c r="E1017" s="92"/>
      <c r="F1017" s="104"/>
      <c r="G1017" s="92"/>
      <c r="H1017" s="90">
        <v>2140103</v>
      </c>
      <c r="I1017" s="90" t="s">
        <v>1112</v>
      </c>
      <c r="J1017" s="143">
        <v>0</v>
      </c>
      <c r="K1017" s="143"/>
      <c r="L1017" s="87">
        <v>0</v>
      </c>
      <c r="M1017" s="92" t="str">
        <f t="shared" si="32"/>
        <v/>
      </c>
      <c r="N1017" s="104">
        <v>0</v>
      </c>
      <c r="O1017" s="92" t="str">
        <f t="shared" si="33"/>
        <v/>
      </c>
      <c r="P1017" s="75" t="s">
        <v>682</v>
      </c>
      <c r="Q1017" s="63">
        <v>0</v>
      </c>
      <c r="R1017" s="63">
        <v>0</v>
      </c>
      <c r="S1017" s="63">
        <v>0</v>
      </c>
      <c r="T1017" s="97" t="s">
        <v>656</v>
      </c>
      <c r="U1017" s="63">
        <v>976</v>
      </c>
    </row>
    <row r="1018" spans="1:21" ht="18" customHeight="1">
      <c r="A1018" s="103"/>
      <c r="B1018" s="104"/>
      <c r="C1018" s="104"/>
      <c r="D1018" s="104"/>
      <c r="E1018" s="92"/>
      <c r="F1018" s="104"/>
      <c r="G1018" s="92"/>
      <c r="H1018" s="90">
        <v>2140104</v>
      </c>
      <c r="I1018" s="90" t="s">
        <v>624</v>
      </c>
      <c r="J1018" s="143">
        <v>140000</v>
      </c>
      <c r="K1018" s="143"/>
      <c r="L1018" s="87">
        <v>6904</v>
      </c>
      <c r="M1018" s="92" t="str">
        <f t="shared" si="32"/>
        <v/>
      </c>
      <c r="N1018" s="104">
        <v>0</v>
      </c>
      <c r="O1018" s="92" t="str">
        <f t="shared" si="33"/>
        <v/>
      </c>
      <c r="P1018" s="75" t="s">
        <v>689</v>
      </c>
      <c r="Q1018" s="63">
        <v>186480</v>
      </c>
      <c r="R1018" s="63">
        <v>110995</v>
      </c>
      <c r="S1018" s="63">
        <v>68000</v>
      </c>
      <c r="T1018" s="97" t="s">
        <v>664</v>
      </c>
      <c r="U1018" s="63">
        <v>318576</v>
      </c>
    </row>
    <row r="1019" spans="1:21" ht="18" customHeight="1">
      <c r="A1019" s="103"/>
      <c r="B1019" s="104"/>
      <c r="C1019" s="104"/>
      <c r="D1019" s="104"/>
      <c r="E1019" s="92"/>
      <c r="F1019" s="104"/>
      <c r="G1019" s="92"/>
      <c r="H1019" s="90">
        <v>2140105</v>
      </c>
      <c r="I1019" s="90" t="s">
        <v>625</v>
      </c>
      <c r="J1019" s="143">
        <v>0</v>
      </c>
      <c r="K1019" s="143"/>
      <c r="L1019" s="87">
        <v>1</v>
      </c>
      <c r="M1019" s="92" t="str">
        <f t="shared" si="32"/>
        <v/>
      </c>
      <c r="N1019" s="104">
        <v>0</v>
      </c>
      <c r="O1019" s="92" t="str">
        <f t="shared" si="33"/>
        <v/>
      </c>
      <c r="P1019" s="75" t="s">
        <v>702</v>
      </c>
      <c r="Q1019" s="63">
        <v>5279</v>
      </c>
      <c r="R1019" s="63">
        <v>5676</v>
      </c>
      <c r="S1019" s="63">
        <v>5676</v>
      </c>
      <c r="T1019" s="97" t="s">
        <v>669</v>
      </c>
      <c r="U1019" s="63">
        <v>75</v>
      </c>
    </row>
    <row r="1020" spans="1:21" ht="18" customHeight="1">
      <c r="A1020" s="103"/>
      <c r="B1020" s="104"/>
      <c r="C1020" s="104"/>
      <c r="D1020" s="104"/>
      <c r="E1020" s="92"/>
      <c r="F1020" s="104"/>
      <c r="G1020" s="92"/>
      <c r="H1020" s="90">
        <v>2140106</v>
      </c>
      <c r="I1020" s="90" t="s">
        <v>626</v>
      </c>
      <c r="J1020" s="143">
        <v>126745</v>
      </c>
      <c r="K1020" s="143"/>
      <c r="L1020" s="87">
        <v>117614</v>
      </c>
      <c r="M1020" s="92" t="str">
        <f t="shared" si="32"/>
        <v/>
      </c>
      <c r="N1020" s="104">
        <v>78943</v>
      </c>
      <c r="O1020" s="92">
        <f t="shared" si="33"/>
        <v>0.48985977224073074</v>
      </c>
      <c r="P1020" s="75" t="s">
        <v>704</v>
      </c>
      <c r="Q1020" s="63">
        <v>53576</v>
      </c>
      <c r="R1020" s="63">
        <v>3838</v>
      </c>
      <c r="S1020" s="63">
        <v>3388</v>
      </c>
      <c r="T1020" s="97" t="s">
        <v>673</v>
      </c>
      <c r="U1020" s="63">
        <v>553</v>
      </c>
    </row>
    <row r="1021" spans="1:21" ht="18" customHeight="1">
      <c r="A1021" s="103"/>
      <c r="B1021" s="104"/>
      <c r="C1021" s="104"/>
      <c r="D1021" s="104"/>
      <c r="E1021" s="92"/>
      <c r="F1021" s="104"/>
      <c r="G1021" s="92"/>
      <c r="H1021" s="90">
        <v>2140107</v>
      </c>
      <c r="I1021" s="90" t="s">
        <v>627</v>
      </c>
      <c r="J1021" s="143">
        <v>0</v>
      </c>
      <c r="K1021" s="143"/>
      <c r="L1021" s="87">
        <v>0</v>
      </c>
      <c r="M1021" s="92" t="str">
        <f t="shared" si="32"/>
        <v/>
      </c>
      <c r="N1021" s="104">
        <v>0</v>
      </c>
      <c r="O1021" s="92" t="str">
        <f t="shared" si="33"/>
        <v/>
      </c>
      <c r="P1021" s="75" t="s">
        <v>715</v>
      </c>
      <c r="Q1021" s="63">
        <v>3781</v>
      </c>
      <c r="R1021" s="63">
        <v>918</v>
      </c>
      <c r="S1021" s="63">
        <v>858</v>
      </c>
      <c r="T1021" s="97" t="s">
        <v>1041</v>
      </c>
      <c r="U1021" s="63">
        <v>351620</v>
      </c>
    </row>
    <row r="1022" spans="1:21" ht="18" customHeight="1">
      <c r="A1022" s="103"/>
      <c r="B1022" s="104"/>
      <c r="C1022" s="104"/>
      <c r="D1022" s="104"/>
      <c r="E1022" s="92"/>
      <c r="F1022" s="104"/>
      <c r="G1022" s="92"/>
      <c r="H1022" s="90">
        <v>2140108</v>
      </c>
      <c r="I1022" s="90" t="s">
        <v>628</v>
      </c>
      <c r="J1022" s="143">
        <v>1640</v>
      </c>
      <c r="K1022" s="143"/>
      <c r="L1022" s="87">
        <v>1506</v>
      </c>
      <c r="M1022" s="92" t="str">
        <f t="shared" si="32"/>
        <v/>
      </c>
      <c r="N1022" s="104">
        <v>1854</v>
      </c>
      <c r="O1022" s="92">
        <f t="shared" si="33"/>
        <v>-0.18770226537216828</v>
      </c>
      <c r="P1022" s="75" t="s">
        <v>721</v>
      </c>
      <c r="Q1022" s="63">
        <v>5500</v>
      </c>
      <c r="R1022" s="63">
        <v>4057</v>
      </c>
      <c r="S1022" s="63">
        <v>2961</v>
      </c>
      <c r="T1022" s="97"/>
    </row>
    <row r="1023" spans="1:21" ht="18" customHeight="1">
      <c r="A1023" s="103"/>
      <c r="B1023" s="104"/>
      <c r="C1023" s="104"/>
      <c r="D1023" s="104"/>
      <c r="E1023" s="92"/>
      <c r="F1023" s="104"/>
      <c r="G1023" s="92"/>
      <c r="H1023" s="90">
        <v>2140109</v>
      </c>
      <c r="I1023" s="90" t="s">
        <v>629</v>
      </c>
      <c r="J1023" s="143">
        <v>10469</v>
      </c>
      <c r="K1023" s="143"/>
      <c r="L1023" s="87">
        <v>3289</v>
      </c>
      <c r="M1023" s="92" t="str">
        <f t="shared" si="32"/>
        <v/>
      </c>
      <c r="N1023" s="104">
        <v>1690</v>
      </c>
      <c r="O1023" s="92">
        <f t="shared" si="33"/>
        <v>0.94615384615384612</v>
      </c>
      <c r="P1023" s="75" t="s">
        <v>725</v>
      </c>
      <c r="Q1023" s="63">
        <v>39022</v>
      </c>
      <c r="R1023" s="63">
        <v>41481</v>
      </c>
      <c r="S1023" s="63">
        <v>25196</v>
      </c>
      <c r="T1023" s="97"/>
    </row>
    <row r="1024" spans="1:21" ht="18" customHeight="1">
      <c r="A1024" s="103"/>
      <c r="B1024" s="104"/>
      <c r="C1024" s="104"/>
      <c r="D1024" s="104"/>
      <c r="E1024" s="92"/>
      <c r="F1024" s="104"/>
      <c r="G1024" s="92"/>
      <c r="H1024" s="90">
        <v>2140110</v>
      </c>
      <c r="I1024" s="90" t="s">
        <v>630</v>
      </c>
      <c r="J1024" s="143">
        <v>947</v>
      </c>
      <c r="K1024" s="143"/>
      <c r="L1024" s="87">
        <v>995</v>
      </c>
      <c r="M1024" s="92" t="str">
        <f t="shared" si="32"/>
        <v/>
      </c>
      <c r="N1024" s="104">
        <v>710</v>
      </c>
      <c r="O1024" s="92">
        <f t="shared" si="33"/>
        <v>0.40140845070422526</v>
      </c>
      <c r="P1024" s="75" t="s">
        <v>1042</v>
      </c>
      <c r="Q1024" s="63">
        <v>279100</v>
      </c>
      <c r="R1024" s="63">
        <v>729900</v>
      </c>
      <c r="S1024" s="63">
        <v>724123</v>
      </c>
      <c r="T1024" s="97"/>
    </row>
    <row r="1025" spans="1:20" ht="18" customHeight="1">
      <c r="A1025" s="103"/>
      <c r="B1025" s="104"/>
      <c r="C1025" s="104"/>
      <c r="D1025" s="104"/>
      <c r="E1025" s="92"/>
      <c r="F1025" s="104"/>
      <c r="G1025" s="92"/>
      <c r="H1025" s="90">
        <v>2140111</v>
      </c>
      <c r="I1025" s="90" t="s">
        <v>631</v>
      </c>
      <c r="J1025" s="143">
        <v>0</v>
      </c>
      <c r="K1025" s="143"/>
      <c r="L1025" s="87">
        <v>0</v>
      </c>
      <c r="M1025" s="92" t="str">
        <f t="shared" si="32"/>
        <v/>
      </c>
      <c r="N1025" s="104">
        <v>0</v>
      </c>
      <c r="O1025" s="92" t="str">
        <f t="shared" si="33"/>
        <v/>
      </c>
      <c r="P1025" s="75" t="s">
        <v>736</v>
      </c>
      <c r="Q1025" s="63">
        <v>311016</v>
      </c>
      <c r="R1025" s="63">
        <v>369485</v>
      </c>
      <c r="S1025" s="63">
        <v>228234</v>
      </c>
      <c r="T1025" s="97"/>
    </row>
    <row r="1026" spans="1:20" ht="18" customHeight="1">
      <c r="A1026" s="103"/>
      <c r="B1026" s="104"/>
      <c r="C1026" s="104"/>
      <c r="D1026" s="104"/>
      <c r="E1026" s="92"/>
      <c r="F1026" s="104"/>
      <c r="G1026" s="92"/>
      <c r="H1026" s="90">
        <v>2140112</v>
      </c>
      <c r="I1026" s="90" t="s">
        <v>632</v>
      </c>
      <c r="J1026" s="143">
        <v>28872</v>
      </c>
      <c r="K1026" s="143"/>
      <c r="L1026" s="87">
        <v>25719</v>
      </c>
      <c r="M1026" s="92" t="str">
        <f t="shared" si="32"/>
        <v/>
      </c>
      <c r="N1026" s="104">
        <v>22485</v>
      </c>
      <c r="O1026" s="92">
        <f t="shared" si="33"/>
        <v>0.1438292194796531</v>
      </c>
      <c r="P1026" s="75" t="s">
        <v>737</v>
      </c>
      <c r="Q1026" s="63">
        <v>109779</v>
      </c>
      <c r="R1026" s="63">
        <v>61526</v>
      </c>
      <c r="S1026" s="63">
        <v>4783</v>
      </c>
      <c r="T1026" s="97"/>
    </row>
    <row r="1027" spans="1:20" ht="18" customHeight="1">
      <c r="A1027" s="103"/>
      <c r="B1027" s="104"/>
      <c r="C1027" s="104"/>
      <c r="D1027" s="104"/>
      <c r="E1027" s="92"/>
      <c r="F1027" s="104"/>
      <c r="G1027" s="92"/>
      <c r="H1027" s="90">
        <v>2140113</v>
      </c>
      <c r="I1027" s="90" t="s">
        <v>633</v>
      </c>
      <c r="J1027" s="143">
        <v>0</v>
      </c>
      <c r="K1027" s="143"/>
      <c r="L1027" s="87">
        <v>0</v>
      </c>
      <c r="M1027" s="92" t="str">
        <f t="shared" si="32"/>
        <v/>
      </c>
      <c r="N1027" s="104">
        <v>0</v>
      </c>
      <c r="O1027" s="92" t="str">
        <f t="shared" si="33"/>
        <v/>
      </c>
      <c r="P1027" s="75" t="s">
        <v>743</v>
      </c>
      <c r="Q1027" s="63">
        <v>421</v>
      </c>
      <c r="R1027" s="63">
        <v>293</v>
      </c>
      <c r="S1027" s="63">
        <v>293</v>
      </c>
      <c r="T1027" s="97"/>
    </row>
    <row r="1028" spans="1:20" ht="18" customHeight="1">
      <c r="A1028" s="103"/>
      <c r="B1028" s="104"/>
      <c r="C1028" s="104"/>
      <c r="D1028" s="104"/>
      <c r="E1028" s="92"/>
      <c r="F1028" s="104"/>
      <c r="G1028" s="92"/>
      <c r="H1028" s="90">
        <v>2140114</v>
      </c>
      <c r="I1028" s="90" t="s">
        <v>634</v>
      </c>
      <c r="J1028" s="143">
        <v>8558</v>
      </c>
      <c r="K1028" s="143"/>
      <c r="L1028" s="87">
        <v>2500</v>
      </c>
      <c r="M1028" s="92" t="str">
        <f t="shared" si="32"/>
        <v/>
      </c>
      <c r="N1028" s="104">
        <v>1168</v>
      </c>
      <c r="O1028" s="92">
        <f t="shared" si="33"/>
        <v>1.1404109589041096</v>
      </c>
      <c r="P1028" s="75" t="s">
        <v>747</v>
      </c>
      <c r="Q1028" s="63">
        <v>108356</v>
      </c>
      <c r="R1028" s="63">
        <v>155745</v>
      </c>
      <c r="S1028" s="63">
        <v>93896</v>
      </c>
      <c r="T1028" s="97"/>
    </row>
    <row r="1029" spans="1:20" ht="18" customHeight="1">
      <c r="A1029" s="103"/>
      <c r="B1029" s="104"/>
      <c r="C1029" s="104"/>
      <c r="D1029" s="104"/>
      <c r="E1029" s="92"/>
      <c r="F1029" s="104"/>
      <c r="G1029" s="92"/>
      <c r="H1029" s="90">
        <v>2140122</v>
      </c>
      <c r="I1029" s="90" t="s">
        <v>635</v>
      </c>
      <c r="J1029" s="143">
        <v>0</v>
      </c>
      <c r="K1029" s="143"/>
      <c r="L1029" s="87">
        <v>0</v>
      </c>
      <c r="M1029" s="92" t="str">
        <f t="shared" si="32"/>
        <v/>
      </c>
      <c r="N1029" s="104">
        <v>0</v>
      </c>
      <c r="O1029" s="92" t="str">
        <f t="shared" si="33"/>
        <v/>
      </c>
      <c r="P1029" s="75" t="s">
        <v>1043</v>
      </c>
      <c r="Q1029" s="63">
        <v>92460</v>
      </c>
      <c r="R1029" s="63">
        <v>151921</v>
      </c>
      <c r="S1029" s="63">
        <v>129262</v>
      </c>
      <c r="T1029" s="97"/>
    </row>
    <row r="1030" spans="1:20" ht="18" customHeight="1">
      <c r="A1030" s="103"/>
      <c r="B1030" s="104"/>
      <c r="C1030" s="104"/>
      <c r="D1030" s="104"/>
      <c r="E1030" s="92"/>
      <c r="F1030" s="104"/>
      <c r="G1030" s="92"/>
      <c r="H1030" s="90">
        <v>2140123</v>
      </c>
      <c r="I1030" s="90" t="s">
        <v>636</v>
      </c>
      <c r="J1030" s="143">
        <v>0</v>
      </c>
      <c r="K1030" s="143"/>
      <c r="L1030" s="87">
        <v>0</v>
      </c>
      <c r="M1030" s="92" t="str">
        <f t="shared" ref="M1030:M1093" si="34">+IF(ISERROR(L1030/K1030),"",L1030/K1030)</f>
        <v/>
      </c>
      <c r="N1030" s="104">
        <v>0</v>
      </c>
      <c r="O1030" s="92" t="str">
        <f t="shared" si="33"/>
        <v/>
      </c>
      <c r="P1030" s="75" t="s">
        <v>753</v>
      </c>
      <c r="Q1030" s="63">
        <v>54748</v>
      </c>
      <c r="R1030" s="63">
        <v>50600</v>
      </c>
      <c r="S1030" s="63">
        <v>50600</v>
      </c>
      <c r="T1030" s="97"/>
    </row>
    <row r="1031" spans="1:20" ht="18" customHeight="1">
      <c r="A1031" s="103"/>
      <c r="B1031" s="104"/>
      <c r="C1031" s="104"/>
      <c r="D1031" s="104"/>
      <c r="E1031" s="92"/>
      <c r="F1031" s="104"/>
      <c r="G1031" s="92"/>
      <c r="H1031" s="90">
        <v>2140124</v>
      </c>
      <c r="I1031" s="90" t="s">
        <v>637</v>
      </c>
      <c r="J1031" s="143">
        <v>0</v>
      </c>
      <c r="K1031" s="143"/>
      <c r="L1031" s="87">
        <v>0</v>
      </c>
      <c r="M1031" s="92" t="str">
        <f t="shared" si="34"/>
        <v/>
      </c>
      <c r="N1031" s="104">
        <v>0</v>
      </c>
      <c r="O1031" s="92" t="str">
        <f t="shared" ref="O1031:O1094" si="35">IF(ISERROR(L1031/N1031-1),"",(L1031/N1031-1))</f>
        <v/>
      </c>
      <c r="P1031" s="75" t="s">
        <v>754</v>
      </c>
      <c r="Q1031" s="63">
        <v>748</v>
      </c>
      <c r="R1031" s="63">
        <v>859</v>
      </c>
      <c r="S1031" s="63">
        <v>859</v>
      </c>
      <c r="T1031" s="97"/>
    </row>
    <row r="1032" spans="1:20" ht="18" customHeight="1">
      <c r="A1032" s="103"/>
      <c r="B1032" s="104"/>
      <c r="C1032" s="104"/>
      <c r="D1032" s="104"/>
      <c r="E1032" s="92"/>
      <c r="F1032" s="104"/>
      <c r="G1032" s="92"/>
      <c r="H1032" s="90">
        <v>2140125</v>
      </c>
      <c r="I1032" s="90" t="s">
        <v>638</v>
      </c>
      <c r="J1032" s="143">
        <v>0</v>
      </c>
      <c r="K1032" s="143"/>
      <c r="L1032" s="87">
        <v>0</v>
      </c>
      <c r="M1032" s="92" t="str">
        <f t="shared" si="34"/>
        <v/>
      </c>
      <c r="N1032" s="104">
        <v>0</v>
      </c>
      <c r="O1032" s="92" t="str">
        <f t="shared" si="35"/>
        <v/>
      </c>
      <c r="P1032" s="75" t="s">
        <v>757</v>
      </c>
      <c r="Q1032" s="63">
        <v>0</v>
      </c>
      <c r="R1032" s="63">
        <v>1290</v>
      </c>
      <c r="S1032" s="63">
        <v>1290</v>
      </c>
      <c r="T1032" s="97"/>
    </row>
    <row r="1033" spans="1:20" ht="18" customHeight="1">
      <c r="A1033" s="103"/>
      <c r="B1033" s="104"/>
      <c r="C1033" s="104"/>
      <c r="D1033" s="104"/>
      <c r="E1033" s="92"/>
      <c r="F1033" s="104"/>
      <c r="G1033" s="92"/>
      <c r="H1033" s="90">
        <v>2140126</v>
      </c>
      <c r="I1033" s="90" t="s">
        <v>639</v>
      </c>
      <c r="J1033" s="143">
        <v>0</v>
      </c>
      <c r="K1033" s="143"/>
      <c r="L1033" s="87">
        <v>0</v>
      </c>
      <c r="M1033" s="92" t="str">
        <f t="shared" si="34"/>
        <v/>
      </c>
      <c r="N1033" s="104">
        <v>0</v>
      </c>
      <c r="O1033" s="92" t="str">
        <f t="shared" si="35"/>
        <v/>
      </c>
      <c r="P1033" s="75" t="s">
        <v>767</v>
      </c>
      <c r="Q1033" s="63">
        <v>34000</v>
      </c>
      <c r="R1033" s="63">
        <v>7478</v>
      </c>
      <c r="S1033" s="63">
        <v>7478</v>
      </c>
      <c r="T1033" s="97"/>
    </row>
    <row r="1034" spans="1:20" ht="18" customHeight="1">
      <c r="A1034" s="103"/>
      <c r="B1034" s="104"/>
      <c r="C1034" s="104"/>
      <c r="D1034" s="104"/>
      <c r="E1034" s="92"/>
      <c r="F1034" s="104"/>
      <c r="G1034" s="92"/>
      <c r="H1034" s="90">
        <v>2140127</v>
      </c>
      <c r="I1034" s="90" t="s">
        <v>640</v>
      </c>
      <c r="J1034" s="143">
        <v>0</v>
      </c>
      <c r="K1034" s="143"/>
      <c r="L1034" s="87">
        <v>0</v>
      </c>
      <c r="M1034" s="92" t="str">
        <f t="shared" si="34"/>
        <v/>
      </c>
      <c r="N1034" s="104">
        <v>0</v>
      </c>
      <c r="O1034" s="92" t="str">
        <f t="shared" si="35"/>
        <v/>
      </c>
      <c r="P1034" s="75" t="s">
        <v>773</v>
      </c>
      <c r="Q1034" s="63">
        <v>0</v>
      </c>
      <c r="R1034" s="63">
        <v>0</v>
      </c>
      <c r="S1034" s="63">
        <v>0</v>
      </c>
      <c r="T1034" s="97"/>
    </row>
    <row r="1035" spans="1:20" ht="18" customHeight="1">
      <c r="A1035" s="103"/>
      <c r="B1035" s="104"/>
      <c r="C1035" s="104"/>
      <c r="D1035" s="104"/>
      <c r="E1035" s="92"/>
      <c r="F1035" s="104"/>
      <c r="G1035" s="92"/>
      <c r="H1035" s="90">
        <v>2140128</v>
      </c>
      <c r="I1035" s="90" t="s">
        <v>641</v>
      </c>
      <c r="J1035" s="143">
        <v>0</v>
      </c>
      <c r="K1035" s="143"/>
      <c r="L1035" s="87">
        <v>0</v>
      </c>
      <c r="M1035" s="92" t="str">
        <f t="shared" si="34"/>
        <v/>
      </c>
      <c r="N1035" s="104">
        <v>0</v>
      </c>
      <c r="O1035" s="92" t="str">
        <f t="shared" si="35"/>
        <v/>
      </c>
      <c r="P1035" s="75" t="s">
        <v>1044</v>
      </c>
      <c r="Q1035" s="63">
        <v>20000</v>
      </c>
      <c r="R1035" s="63">
        <v>40973</v>
      </c>
      <c r="S1035" s="63">
        <v>40973</v>
      </c>
      <c r="T1035" s="97"/>
    </row>
    <row r="1036" spans="1:20" ht="18" customHeight="1">
      <c r="A1036" s="103"/>
      <c r="B1036" s="104"/>
      <c r="C1036" s="104"/>
      <c r="D1036" s="104"/>
      <c r="E1036" s="92"/>
      <c r="F1036" s="104"/>
      <c r="G1036" s="92"/>
      <c r="H1036" s="90">
        <v>2140129</v>
      </c>
      <c r="I1036" s="90" t="s">
        <v>642</v>
      </c>
      <c r="J1036" s="143">
        <v>50</v>
      </c>
      <c r="K1036" s="143"/>
      <c r="L1036" s="87">
        <v>0</v>
      </c>
      <c r="M1036" s="92" t="str">
        <f t="shared" si="34"/>
        <v/>
      </c>
      <c r="N1036" s="104">
        <v>0</v>
      </c>
      <c r="O1036" s="92" t="str">
        <f t="shared" si="35"/>
        <v/>
      </c>
      <c r="T1036" s="97"/>
    </row>
    <row r="1037" spans="1:20" ht="18" customHeight="1">
      <c r="A1037" s="103"/>
      <c r="B1037" s="104"/>
      <c r="C1037" s="104"/>
      <c r="D1037" s="104"/>
      <c r="E1037" s="92"/>
      <c r="F1037" s="104"/>
      <c r="G1037" s="92"/>
      <c r="H1037" s="90">
        <v>2140130</v>
      </c>
      <c r="I1037" s="90" t="s">
        <v>643</v>
      </c>
      <c r="J1037" s="143">
        <v>0</v>
      </c>
      <c r="K1037" s="143"/>
      <c r="L1037" s="87">
        <v>0</v>
      </c>
      <c r="M1037" s="92" t="str">
        <f t="shared" si="34"/>
        <v/>
      </c>
      <c r="N1037" s="104">
        <v>0</v>
      </c>
      <c r="O1037" s="92" t="str">
        <f t="shared" si="35"/>
        <v/>
      </c>
      <c r="T1037" s="97"/>
    </row>
    <row r="1038" spans="1:20" ht="18" customHeight="1">
      <c r="A1038" s="103"/>
      <c r="B1038" s="104"/>
      <c r="C1038" s="104"/>
      <c r="D1038" s="104"/>
      <c r="E1038" s="92"/>
      <c r="F1038" s="104"/>
      <c r="G1038" s="92"/>
      <c r="H1038" s="90">
        <v>2140131</v>
      </c>
      <c r="I1038" s="90" t="s">
        <v>644</v>
      </c>
      <c r="J1038" s="143">
        <v>344</v>
      </c>
      <c r="K1038" s="143"/>
      <c r="L1038" s="87">
        <v>571</v>
      </c>
      <c r="M1038" s="92" t="str">
        <f t="shared" si="34"/>
        <v/>
      </c>
      <c r="N1038" s="104">
        <v>727</v>
      </c>
      <c r="O1038" s="92">
        <f t="shared" si="35"/>
        <v>-0.21458046767537831</v>
      </c>
      <c r="T1038" s="97"/>
    </row>
    <row r="1039" spans="1:20" ht="18" customHeight="1">
      <c r="A1039" s="103"/>
      <c r="B1039" s="104"/>
      <c r="C1039" s="104"/>
      <c r="D1039" s="104"/>
      <c r="E1039" s="92"/>
      <c r="F1039" s="104"/>
      <c r="G1039" s="92"/>
      <c r="H1039" s="90">
        <v>2140133</v>
      </c>
      <c r="I1039" s="90" t="s">
        <v>645</v>
      </c>
      <c r="J1039" s="143">
        <v>0</v>
      </c>
      <c r="K1039" s="143"/>
      <c r="L1039" s="87">
        <v>0</v>
      </c>
      <c r="M1039" s="92" t="str">
        <f t="shared" si="34"/>
        <v/>
      </c>
      <c r="N1039" s="104">
        <v>0</v>
      </c>
      <c r="O1039" s="92" t="str">
        <f t="shared" si="35"/>
        <v/>
      </c>
      <c r="T1039" s="97"/>
    </row>
    <row r="1040" spans="1:20" ht="18" customHeight="1">
      <c r="A1040" s="103"/>
      <c r="B1040" s="104"/>
      <c r="C1040" s="104"/>
      <c r="D1040" s="104"/>
      <c r="E1040" s="92"/>
      <c r="F1040" s="104"/>
      <c r="G1040" s="92"/>
      <c r="H1040" s="90">
        <v>2140136</v>
      </c>
      <c r="I1040" s="90" t="s">
        <v>646</v>
      </c>
      <c r="J1040" s="143">
        <v>0</v>
      </c>
      <c r="K1040" s="143"/>
      <c r="L1040" s="87">
        <v>0</v>
      </c>
      <c r="M1040" s="92" t="str">
        <f t="shared" si="34"/>
        <v/>
      </c>
      <c r="N1040" s="104">
        <v>0</v>
      </c>
      <c r="O1040" s="92" t="str">
        <f t="shared" si="35"/>
        <v/>
      </c>
      <c r="T1040" s="97"/>
    </row>
    <row r="1041" spans="1:20" ht="18" customHeight="1">
      <c r="A1041" s="103"/>
      <c r="B1041" s="104"/>
      <c r="C1041" s="104"/>
      <c r="D1041" s="104"/>
      <c r="E1041" s="92"/>
      <c r="F1041" s="104"/>
      <c r="G1041" s="92"/>
      <c r="H1041" s="90">
        <v>2140138</v>
      </c>
      <c r="I1041" s="90" t="s">
        <v>647</v>
      </c>
      <c r="J1041" s="143">
        <v>0</v>
      </c>
      <c r="K1041" s="143"/>
      <c r="L1041" s="87">
        <v>0</v>
      </c>
      <c r="M1041" s="92" t="str">
        <f t="shared" si="34"/>
        <v/>
      </c>
      <c r="N1041" s="104">
        <v>0</v>
      </c>
      <c r="O1041" s="92" t="str">
        <f t="shared" si="35"/>
        <v/>
      </c>
      <c r="T1041" s="97"/>
    </row>
    <row r="1042" spans="1:20" ht="18" customHeight="1">
      <c r="A1042" s="103"/>
      <c r="B1042" s="104"/>
      <c r="C1042" s="104"/>
      <c r="D1042" s="104"/>
      <c r="E1042" s="92"/>
      <c r="F1042" s="104"/>
      <c r="G1042" s="92"/>
      <c r="H1042" s="90">
        <v>2140139</v>
      </c>
      <c r="I1042" s="90" t="s">
        <v>648</v>
      </c>
      <c r="J1042" s="143">
        <v>0</v>
      </c>
      <c r="K1042" s="143"/>
      <c r="L1042" s="87">
        <v>0</v>
      </c>
      <c r="M1042" s="92" t="str">
        <f t="shared" si="34"/>
        <v/>
      </c>
      <c r="N1042" s="104">
        <v>0</v>
      </c>
      <c r="O1042" s="92" t="str">
        <f t="shared" si="35"/>
        <v/>
      </c>
      <c r="T1042" s="97"/>
    </row>
    <row r="1043" spans="1:20" ht="18" customHeight="1">
      <c r="A1043" s="103"/>
      <c r="B1043" s="104"/>
      <c r="C1043" s="104"/>
      <c r="D1043" s="104"/>
      <c r="E1043" s="92"/>
      <c r="F1043" s="104"/>
      <c r="G1043" s="92"/>
      <c r="H1043" s="90">
        <v>2140199</v>
      </c>
      <c r="I1043" s="90" t="s">
        <v>649</v>
      </c>
      <c r="J1043" s="143">
        <v>12705</v>
      </c>
      <c r="K1043" s="143"/>
      <c r="L1043" s="87">
        <v>193453</v>
      </c>
      <c r="M1043" s="92" t="str">
        <f t="shared" si="34"/>
        <v/>
      </c>
      <c r="N1043" s="104">
        <v>44</v>
      </c>
      <c r="O1043" s="92">
        <f t="shared" si="35"/>
        <v>4395.659090909091</v>
      </c>
      <c r="T1043" s="97"/>
    </row>
    <row r="1044" spans="1:20" ht="18" customHeight="1">
      <c r="A1044" s="103"/>
      <c r="B1044" s="104"/>
      <c r="C1044" s="104"/>
      <c r="D1044" s="104"/>
      <c r="E1044" s="92"/>
      <c r="F1044" s="104"/>
      <c r="G1044" s="92"/>
      <c r="H1044" s="90">
        <v>21402</v>
      </c>
      <c r="I1044" s="80" t="s">
        <v>650</v>
      </c>
      <c r="J1044" s="104"/>
      <c r="K1044" s="104"/>
      <c r="L1044" s="104"/>
      <c r="M1044" s="92" t="str">
        <f t="shared" si="34"/>
        <v/>
      </c>
      <c r="N1044" s="104">
        <v>8</v>
      </c>
      <c r="O1044" s="92">
        <f t="shared" si="35"/>
        <v>-1</v>
      </c>
      <c r="T1044" s="97"/>
    </row>
    <row r="1045" spans="1:20" ht="18" customHeight="1">
      <c r="A1045" s="103"/>
      <c r="B1045" s="104"/>
      <c r="C1045" s="104"/>
      <c r="D1045" s="104"/>
      <c r="E1045" s="92"/>
      <c r="F1045" s="104"/>
      <c r="G1045" s="92"/>
      <c r="H1045" s="90">
        <v>2140201</v>
      </c>
      <c r="I1045" s="90" t="s">
        <v>1110</v>
      </c>
      <c r="J1045" s="104"/>
      <c r="K1045" s="104"/>
      <c r="L1045" s="104"/>
      <c r="M1045" s="92" t="str">
        <f t="shared" si="34"/>
        <v/>
      </c>
      <c r="N1045" s="104">
        <v>0</v>
      </c>
      <c r="O1045" s="92" t="str">
        <f t="shared" si="35"/>
        <v/>
      </c>
      <c r="T1045" s="97"/>
    </row>
    <row r="1046" spans="1:20" ht="18" customHeight="1">
      <c r="A1046" s="103"/>
      <c r="B1046" s="104"/>
      <c r="C1046" s="104"/>
      <c r="D1046" s="104"/>
      <c r="E1046" s="92"/>
      <c r="F1046" s="104"/>
      <c r="G1046" s="92"/>
      <c r="H1046" s="90">
        <v>2140202</v>
      </c>
      <c r="I1046" s="90" t="s">
        <v>1111</v>
      </c>
      <c r="J1046" s="104"/>
      <c r="K1046" s="104"/>
      <c r="L1046" s="104"/>
      <c r="M1046" s="92" t="str">
        <f t="shared" si="34"/>
        <v/>
      </c>
      <c r="N1046" s="104">
        <v>0</v>
      </c>
      <c r="O1046" s="92" t="str">
        <f t="shared" si="35"/>
        <v/>
      </c>
      <c r="T1046" s="97"/>
    </row>
    <row r="1047" spans="1:20" ht="18" customHeight="1">
      <c r="A1047" s="103"/>
      <c r="B1047" s="104"/>
      <c r="C1047" s="104"/>
      <c r="D1047" s="104"/>
      <c r="E1047" s="92"/>
      <c r="F1047" s="104"/>
      <c r="G1047" s="92"/>
      <c r="H1047" s="90">
        <v>2140203</v>
      </c>
      <c r="I1047" s="90" t="s">
        <v>1112</v>
      </c>
      <c r="J1047" s="104"/>
      <c r="K1047" s="104"/>
      <c r="L1047" s="104"/>
      <c r="M1047" s="92" t="str">
        <f t="shared" si="34"/>
        <v/>
      </c>
      <c r="N1047" s="104">
        <v>0</v>
      </c>
      <c r="O1047" s="92" t="str">
        <f t="shared" si="35"/>
        <v/>
      </c>
      <c r="T1047" s="97"/>
    </row>
    <row r="1048" spans="1:20" ht="18" customHeight="1">
      <c r="A1048" s="103"/>
      <c r="B1048" s="104"/>
      <c r="C1048" s="104"/>
      <c r="D1048" s="104"/>
      <c r="E1048" s="92"/>
      <c r="F1048" s="104"/>
      <c r="G1048" s="92"/>
      <c r="H1048" s="90">
        <v>2140204</v>
      </c>
      <c r="I1048" s="90" t="s">
        <v>651</v>
      </c>
      <c r="J1048" s="104"/>
      <c r="K1048" s="104"/>
      <c r="L1048" s="104"/>
      <c r="M1048" s="92" t="str">
        <f t="shared" si="34"/>
        <v/>
      </c>
      <c r="N1048" s="104">
        <v>0</v>
      </c>
      <c r="O1048" s="92" t="str">
        <f t="shared" si="35"/>
        <v/>
      </c>
      <c r="T1048" s="97"/>
    </row>
    <row r="1049" spans="1:20" ht="18" customHeight="1">
      <c r="A1049" s="103"/>
      <c r="B1049" s="104"/>
      <c r="C1049" s="104"/>
      <c r="D1049" s="104"/>
      <c r="E1049" s="92"/>
      <c r="F1049" s="104"/>
      <c r="G1049" s="92"/>
      <c r="H1049" s="90">
        <v>2140205</v>
      </c>
      <c r="I1049" s="90" t="s">
        <v>652</v>
      </c>
      <c r="J1049" s="104"/>
      <c r="K1049" s="104"/>
      <c r="L1049" s="104"/>
      <c r="M1049" s="92" t="str">
        <f t="shared" si="34"/>
        <v/>
      </c>
      <c r="N1049" s="104">
        <v>0</v>
      </c>
      <c r="O1049" s="92" t="str">
        <f t="shared" si="35"/>
        <v/>
      </c>
      <c r="T1049" s="97"/>
    </row>
    <row r="1050" spans="1:20" ht="18" customHeight="1">
      <c r="A1050" s="103"/>
      <c r="B1050" s="104"/>
      <c r="C1050" s="104"/>
      <c r="D1050" s="104"/>
      <c r="E1050" s="92"/>
      <c r="F1050" s="104"/>
      <c r="G1050" s="92"/>
      <c r="H1050" s="90">
        <v>2140206</v>
      </c>
      <c r="I1050" s="90" t="s">
        <v>653</v>
      </c>
      <c r="J1050" s="104"/>
      <c r="K1050" s="104"/>
      <c r="L1050" s="104"/>
      <c r="M1050" s="92" t="str">
        <f t="shared" si="34"/>
        <v/>
      </c>
      <c r="N1050" s="104">
        <v>0</v>
      </c>
      <c r="O1050" s="92" t="str">
        <f t="shared" si="35"/>
        <v/>
      </c>
      <c r="T1050" s="97"/>
    </row>
    <row r="1051" spans="1:20" ht="18" customHeight="1">
      <c r="A1051" s="103"/>
      <c r="B1051" s="104"/>
      <c r="C1051" s="104"/>
      <c r="D1051" s="104"/>
      <c r="E1051" s="92"/>
      <c r="F1051" s="104"/>
      <c r="G1051" s="92"/>
      <c r="H1051" s="90">
        <v>2140207</v>
      </c>
      <c r="I1051" s="90" t="s">
        <v>654</v>
      </c>
      <c r="J1051" s="104"/>
      <c r="K1051" s="104"/>
      <c r="L1051" s="104"/>
      <c r="M1051" s="92" t="str">
        <f t="shared" si="34"/>
        <v/>
      </c>
      <c r="N1051" s="104">
        <v>0</v>
      </c>
      <c r="O1051" s="92" t="str">
        <f t="shared" si="35"/>
        <v/>
      </c>
      <c r="T1051" s="97"/>
    </row>
    <row r="1052" spans="1:20" ht="18" customHeight="1">
      <c r="A1052" s="103"/>
      <c r="B1052" s="104"/>
      <c r="C1052" s="104"/>
      <c r="D1052" s="104"/>
      <c r="E1052" s="92"/>
      <c r="F1052" s="104"/>
      <c r="G1052" s="92"/>
      <c r="H1052" s="90">
        <v>2140299</v>
      </c>
      <c r="I1052" s="90" t="s">
        <v>655</v>
      </c>
      <c r="J1052" s="104"/>
      <c r="K1052" s="104"/>
      <c r="L1052" s="104"/>
      <c r="M1052" s="92" t="str">
        <f t="shared" si="34"/>
        <v/>
      </c>
      <c r="N1052" s="104">
        <v>8</v>
      </c>
      <c r="O1052" s="92">
        <f t="shared" si="35"/>
        <v>-1</v>
      </c>
      <c r="T1052" s="97"/>
    </row>
    <row r="1053" spans="1:20" ht="18" customHeight="1">
      <c r="A1053" s="103"/>
      <c r="B1053" s="104"/>
      <c r="C1053" s="104"/>
      <c r="D1053" s="104"/>
      <c r="E1053" s="92"/>
      <c r="F1053" s="104"/>
      <c r="G1053" s="92"/>
      <c r="H1053" s="90">
        <v>21403</v>
      </c>
      <c r="I1053" s="80" t="s">
        <v>656</v>
      </c>
      <c r="J1053" s="143">
        <v>5350</v>
      </c>
      <c r="K1053" s="647">
        <v>700</v>
      </c>
      <c r="L1053" s="87">
        <v>350</v>
      </c>
      <c r="M1053" s="92">
        <f t="shared" si="34"/>
        <v>0.5</v>
      </c>
      <c r="N1053" s="104">
        <v>11006</v>
      </c>
      <c r="O1053" s="92">
        <f t="shared" si="35"/>
        <v>-0.96819916409231332</v>
      </c>
      <c r="T1053" s="97"/>
    </row>
    <row r="1054" spans="1:20" ht="18" customHeight="1">
      <c r="A1054" s="103"/>
      <c r="B1054" s="104"/>
      <c r="C1054" s="104"/>
      <c r="D1054" s="104"/>
      <c r="E1054" s="92"/>
      <c r="F1054" s="104"/>
      <c r="G1054" s="92"/>
      <c r="H1054" s="90">
        <v>2140301</v>
      </c>
      <c r="I1054" s="90" t="s">
        <v>1110</v>
      </c>
      <c r="J1054" s="143">
        <v>0</v>
      </c>
      <c r="K1054" s="143"/>
      <c r="L1054" s="87">
        <v>0</v>
      </c>
      <c r="M1054" s="92" t="str">
        <f t="shared" si="34"/>
        <v/>
      </c>
      <c r="N1054" s="104">
        <v>0</v>
      </c>
      <c r="O1054" s="92" t="str">
        <f t="shared" si="35"/>
        <v/>
      </c>
      <c r="T1054" s="97"/>
    </row>
    <row r="1055" spans="1:20" ht="18" customHeight="1">
      <c r="A1055" s="103"/>
      <c r="B1055" s="104"/>
      <c r="C1055" s="104"/>
      <c r="D1055" s="104"/>
      <c r="E1055" s="92"/>
      <c r="F1055" s="104"/>
      <c r="G1055" s="92"/>
      <c r="H1055" s="90">
        <v>2140302</v>
      </c>
      <c r="I1055" s="90" t="s">
        <v>1111</v>
      </c>
      <c r="J1055" s="143">
        <v>0</v>
      </c>
      <c r="K1055" s="143"/>
      <c r="L1055" s="87">
        <v>0</v>
      </c>
      <c r="M1055" s="92" t="str">
        <f t="shared" si="34"/>
        <v/>
      </c>
      <c r="N1055" s="104">
        <v>0</v>
      </c>
      <c r="O1055" s="92" t="str">
        <f t="shared" si="35"/>
        <v/>
      </c>
      <c r="T1055" s="97"/>
    </row>
    <row r="1056" spans="1:20" ht="18" customHeight="1">
      <c r="A1056" s="103"/>
      <c r="B1056" s="104"/>
      <c r="C1056" s="104"/>
      <c r="D1056" s="104"/>
      <c r="E1056" s="92"/>
      <c r="F1056" s="104"/>
      <c r="G1056" s="92"/>
      <c r="H1056" s="90">
        <v>2140303</v>
      </c>
      <c r="I1056" s="90" t="s">
        <v>1112</v>
      </c>
      <c r="J1056" s="143">
        <v>0</v>
      </c>
      <c r="K1056" s="143"/>
      <c r="L1056" s="87">
        <v>0</v>
      </c>
      <c r="M1056" s="92" t="str">
        <f t="shared" si="34"/>
        <v/>
      </c>
      <c r="N1056" s="104">
        <v>0</v>
      </c>
      <c r="O1056" s="92" t="str">
        <f t="shared" si="35"/>
        <v/>
      </c>
      <c r="T1056" s="97"/>
    </row>
    <row r="1057" spans="1:20" ht="18" customHeight="1">
      <c r="A1057" s="103"/>
      <c r="B1057" s="104"/>
      <c r="C1057" s="104"/>
      <c r="D1057" s="104"/>
      <c r="E1057" s="92"/>
      <c r="F1057" s="104"/>
      <c r="G1057" s="92"/>
      <c r="H1057" s="90">
        <v>2140304</v>
      </c>
      <c r="I1057" s="90" t="s">
        <v>657</v>
      </c>
      <c r="J1057" s="143">
        <v>5000</v>
      </c>
      <c r="K1057" s="143"/>
      <c r="L1057" s="87">
        <v>0</v>
      </c>
      <c r="M1057" s="92" t="str">
        <f t="shared" si="34"/>
        <v/>
      </c>
      <c r="N1057" s="104">
        <v>0</v>
      </c>
      <c r="O1057" s="92" t="str">
        <f t="shared" si="35"/>
        <v/>
      </c>
      <c r="T1057" s="97"/>
    </row>
    <row r="1058" spans="1:20" ht="18" customHeight="1">
      <c r="A1058" s="103"/>
      <c r="B1058" s="104"/>
      <c r="C1058" s="104"/>
      <c r="D1058" s="104"/>
      <c r="E1058" s="92"/>
      <c r="F1058" s="104"/>
      <c r="G1058" s="92"/>
      <c r="H1058" s="90">
        <v>2140305</v>
      </c>
      <c r="I1058" s="90" t="s">
        <v>658</v>
      </c>
      <c r="J1058" s="143">
        <v>0</v>
      </c>
      <c r="K1058" s="143"/>
      <c r="L1058" s="87">
        <v>0</v>
      </c>
      <c r="M1058" s="92" t="str">
        <f t="shared" si="34"/>
        <v/>
      </c>
      <c r="N1058" s="104">
        <v>0</v>
      </c>
      <c r="O1058" s="92" t="str">
        <f t="shared" si="35"/>
        <v/>
      </c>
      <c r="T1058" s="97"/>
    </row>
    <row r="1059" spans="1:20" ht="18" customHeight="1">
      <c r="A1059" s="103"/>
      <c r="B1059" s="104"/>
      <c r="C1059" s="104"/>
      <c r="D1059" s="104"/>
      <c r="E1059" s="92"/>
      <c r="F1059" s="104"/>
      <c r="G1059" s="92"/>
      <c r="H1059" s="90">
        <v>2140306</v>
      </c>
      <c r="I1059" s="90" t="s">
        <v>659</v>
      </c>
      <c r="J1059" s="143">
        <v>0</v>
      </c>
      <c r="K1059" s="143"/>
      <c r="L1059" s="87">
        <v>0</v>
      </c>
      <c r="M1059" s="92" t="str">
        <f t="shared" si="34"/>
        <v/>
      </c>
      <c r="N1059" s="104">
        <v>0</v>
      </c>
      <c r="O1059" s="92" t="str">
        <f t="shared" si="35"/>
        <v/>
      </c>
      <c r="T1059" s="97"/>
    </row>
    <row r="1060" spans="1:20" ht="18" customHeight="1">
      <c r="A1060" s="103"/>
      <c r="B1060" s="104"/>
      <c r="C1060" s="104"/>
      <c r="D1060" s="104"/>
      <c r="E1060" s="92"/>
      <c r="F1060" s="104"/>
      <c r="G1060" s="92"/>
      <c r="H1060" s="90">
        <v>2140307</v>
      </c>
      <c r="I1060" s="90" t="s">
        <v>660</v>
      </c>
      <c r="J1060" s="143">
        <v>0</v>
      </c>
      <c r="K1060" s="143"/>
      <c r="L1060" s="87">
        <v>0</v>
      </c>
      <c r="M1060" s="92" t="str">
        <f t="shared" si="34"/>
        <v/>
      </c>
      <c r="N1060" s="104">
        <v>0</v>
      </c>
      <c r="O1060" s="92" t="str">
        <f t="shared" si="35"/>
        <v/>
      </c>
      <c r="T1060" s="97"/>
    </row>
    <row r="1061" spans="1:20" ht="18" customHeight="1">
      <c r="A1061" s="103"/>
      <c r="B1061" s="104"/>
      <c r="C1061" s="104"/>
      <c r="D1061" s="104"/>
      <c r="E1061" s="92"/>
      <c r="F1061" s="104"/>
      <c r="G1061" s="92"/>
      <c r="H1061" s="90">
        <v>2140308</v>
      </c>
      <c r="I1061" s="90" t="s">
        <v>661</v>
      </c>
      <c r="J1061" s="143">
        <v>0</v>
      </c>
      <c r="K1061" s="143"/>
      <c r="L1061" s="87">
        <v>0</v>
      </c>
      <c r="M1061" s="92" t="str">
        <f t="shared" si="34"/>
        <v/>
      </c>
      <c r="N1061" s="104">
        <v>0</v>
      </c>
      <c r="O1061" s="92" t="str">
        <f t="shared" si="35"/>
        <v/>
      </c>
      <c r="T1061" s="97"/>
    </row>
    <row r="1062" spans="1:20" ht="18" customHeight="1">
      <c r="A1062" s="103"/>
      <c r="B1062" s="104"/>
      <c r="C1062" s="104"/>
      <c r="D1062" s="104"/>
      <c r="E1062" s="92"/>
      <c r="F1062" s="104"/>
      <c r="G1062" s="92"/>
      <c r="H1062" s="90">
        <v>2140309</v>
      </c>
      <c r="I1062" s="90" t="s">
        <v>662</v>
      </c>
      <c r="J1062" s="143"/>
      <c r="K1062" s="143"/>
      <c r="L1062" s="87"/>
      <c r="M1062" s="92" t="str">
        <f t="shared" si="34"/>
        <v/>
      </c>
      <c r="N1062" s="104">
        <v>0</v>
      </c>
      <c r="O1062" s="92" t="str">
        <f t="shared" si="35"/>
        <v/>
      </c>
      <c r="T1062" s="97"/>
    </row>
    <row r="1063" spans="1:20" ht="18" customHeight="1">
      <c r="A1063" s="103"/>
      <c r="B1063" s="104"/>
      <c r="C1063" s="104"/>
      <c r="D1063" s="104"/>
      <c r="E1063" s="92"/>
      <c r="F1063" s="104"/>
      <c r="G1063" s="92"/>
      <c r="H1063" s="90">
        <v>2140399</v>
      </c>
      <c r="I1063" s="90" t="s">
        <v>663</v>
      </c>
      <c r="J1063" s="143">
        <v>350</v>
      </c>
      <c r="K1063" s="143"/>
      <c r="L1063" s="87">
        <v>350</v>
      </c>
      <c r="M1063" s="92" t="str">
        <f t="shared" si="34"/>
        <v/>
      </c>
      <c r="N1063" s="104">
        <v>11006</v>
      </c>
      <c r="O1063" s="92">
        <f t="shared" si="35"/>
        <v>-0.96819916409231332</v>
      </c>
      <c r="T1063" s="97"/>
    </row>
    <row r="1064" spans="1:20" ht="18" customHeight="1">
      <c r="A1064" s="103"/>
      <c r="B1064" s="104"/>
      <c r="C1064" s="104"/>
      <c r="D1064" s="104"/>
      <c r="E1064" s="92"/>
      <c r="F1064" s="104"/>
      <c r="G1064" s="92"/>
      <c r="H1064" s="90">
        <v>21404</v>
      </c>
      <c r="I1064" s="80" t="s">
        <v>664</v>
      </c>
      <c r="J1064" s="143">
        <v>127959</v>
      </c>
      <c r="K1064" s="647">
        <v>44055</v>
      </c>
      <c r="L1064" s="104"/>
      <c r="M1064" s="92">
        <f t="shared" si="34"/>
        <v>0</v>
      </c>
      <c r="N1064" s="104">
        <v>193752</v>
      </c>
      <c r="O1064" s="92">
        <f t="shared" si="35"/>
        <v>-1</v>
      </c>
      <c r="T1064" s="97"/>
    </row>
    <row r="1065" spans="1:20" ht="18" customHeight="1">
      <c r="A1065" s="103"/>
      <c r="B1065" s="104"/>
      <c r="C1065" s="104"/>
      <c r="D1065" s="104"/>
      <c r="E1065" s="92"/>
      <c r="F1065" s="104"/>
      <c r="G1065" s="92"/>
      <c r="H1065" s="90">
        <v>2140401</v>
      </c>
      <c r="I1065" s="90" t="s">
        <v>665</v>
      </c>
      <c r="J1065" s="143">
        <v>90013</v>
      </c>
      <c r="K1065" s="143"/>
      <c r="L1065" s="104"/>
      <c r="M1065" s="92" t="str">
        <f t="shared" si="34"/>
        <v/>
      </c>
      <c r="N1065" s="104">
        <v>193752</v>
      </c>
      <c r="O1065" s="92">
        <f t="shared" si="35"/>
        <v>-1</v>
      </c>
      <c r="T1065" s="97"/>
    </row>
    <row r="1066" spans="1:20" ht="18" customHeight="1">
      <c r="A1066" s="103"/>
      <c r="B1066" s="104"/>
      <c r="C1066" s="104"/>
      <c r="D1066" s="104"/>
      <c r="E1066" s="92"/>
      <c r="F1066" s="104"/>
      <c r="G1066" s="92"/>
      <c r="H1066" s="90">
        <v>2140402</v>
      </c>
      <c r="I1066" s="90" t="s">
        <v>666</v>
      </c>
      <c r="J1066" s="143">
        <v>62</v>
      </c>
      <c r="K1066" s="143"/>
      <c r="L1066" s="104"/>
      <c r="M1066" s="92" t="str">
        <f t="shared" si="34"/>
        <v/>
      </c>
      <c r="N1066" s="104">
        <v>0</v>
      </c>
      <c r="O1066" s="92" t="str">
        <f t="shared" si="35"/>
        <v/>
      </c>
      <c r="T1066" s="97"/>
    </row>
    <row r="1067" spans="1:20" ht="18" customHeight="1">
      <c r="A1067" s="103"/>
      <c r="B1067" s="104"/>
      <c r="C1067" s="104"/>
      <c r="D1067" s="104"/>
      <c r="E1067" s="92"/>
      <c r="F1067" s="104"/>
      <c r="G1067" s="92"/>
      <c r="H1067" s="90">
        <v>2140403</v>
      </c>
      <c r="I1067" s="90" t="s">
        <v>667</v>
      </c>
      <c r="J1067" s="143">
        <v>36698</v>
      </c>
      <c r="K1067" s="143"/>
      <c r="L1067" s="104"/>
      <c r="M1067" s="92" t="str">
        <f t="shared" si="34"/>
        <v/>
      </c>
      <c r="N1067" s="104">
        <v>0</v>
      </c>
      <c r="O1067" s="92" t="str">
        <f t="shared" si="35"/>
        <v/>
      </c>
      <c r="T1067" s="97"/>
    </row>
    <row r="1068" spans="1:20" ht="18" customHeight="1">
      <c r="A1068" s="103"/>
      <c r="B1068" s="104"/>
      <c r="C1068" s="104"/>
      <c r="D1068" s="104"/>
      <c r="E1068" s="92"/>
      <c r="F1068" s="104"/>
      <c r="G1068" s="92"/>
      <c r="H1068" s="90">
        <v>2140499</v>
      </c>
      <c r="I1068" s="90" t="s">
        <v>668</v>
      </c>
      <c r="J1068" s="143">
        <v>1186</v>
      </c>
      <c r="K1068" s="143"/>
      <c r="L1068" s="104"/>
      <c r="M1068" s="92" t="str">
        <f t="shared" si="34"/>
        <v/>
      </c>
      <c r="N1068" s="104">
        <v>0</v>
      </c>
      <c r="O1068" s="92" t="str">
        <f t="shared" si="35"/>
        <v/>
      </c>
      <c r="T1068" s="97"/>
    </row>
    <row r="1069" spans="1:20" ht="18" customHeight="1">
      <c r="A1069" s="103"/>
      <c r="B1069" s="104"/>
      <c r="C1069" s="104"/>
      <c r="D1069" s="104"/>
      <c r="E1069" s="92"/>
      <c r="F1069" s="104"/>
      <c r="G1069" s="92"/>
      <c r="H1069" s="90">
        <v>21405</v>
      </c>
      <c r="I1069" s="80" t="s">
        <v>669</v>
      </c>
      <c r="J1069" s="143">
        <v>300</v>
      </c>
      <c r="K1069" s="647">
        <v>378</v>
      </c>
      <c r="L1069" s="87">
        <v>328</v>
      </c>
      <c r="M1069" s="92">
        <f t="shared" si="34"/>
        <v>0.86772486772486768</v>
      </c>
      <c r="N1069" s="104">
        <v>75</v>
      </c>
      <c r="O1069" s="92">
        <f t="shared" si="35"/>
        <v>3.3733333333333331</v>
      </c>
      <c r="T1069" s="97"/>
    </row>
    <row r="1070" spans="1:20" ht="18" customHeight="1">
      <c r="A1070" s="103"/>
      <c r="B1070" s="104"/>
      <c r="C1070" s="104"/>
      <c r="D1070" s="104"/>
      <c r="E1070" s="92"/>
      <c r="F1070" s="104"/>
      <c r="G1070" s="92"/>
      <c r="H1070" s="90">
        <v>2140501</v>
      </c>
      <c r="I1070" s="90" t="s">
        <v>1110</v>
      </c>
      <c r="J1070" s="143">
        <v>0</v>
      </c>
      <c r="K1070" s="143"/>
      <c r="L1070" s="87">
        <v>0</v>
      </c>
      <c r="M1070" s="92" t="str">
        <f t="shared" si="34"/>
        <v/>
      </c>
      <c r="N1070" s="104">
        <v>0</v>
      </c>
      <c r="O1070" s="92" t="str">
        <f t="shared" si="35"/>
        <v/>
      </c>
      <c r="T1070" s="97"/>
    </row>
    <row r="1071" spans="1:20" ht="18" customHeight="1">
      <c r="A1071" s="103"/>
      <c r="B1071" s="104"/>
      <c r="C1071" s="104"/>
      <c r="D1071" s="104"/>
      <c r="E1071" s="92"/>
      <c r="F1071" s="104"/>
      <c r="G1071" s="92"/>
      <c r="H1071" s="90">
        <v>2140502</v>
      </c>
      <c r="I1071" s="90" t="s">
        <v>1111</v>
      </c>
      <c r="J1071" s="143">
        <v>0</v>
      </c>
      <c r="K1071" s="143"/>
      <c r="L1071" s="87">
        <v>0</v>
      </c>
      <c r="M1071" s="92" t="str">
        <f t="shared" si="34"/>
        <v/>
      </c>
      <c r="N1071" s="104">
        <v>0</v>
      </c>
      <c r="O1071" s="92" t="str">
        <f t="shared" si="35"/>
        <v/>
      </c>
      <c r="T1071" s="97"/>
    </row>
    <row r="1072" spans="1:20" ht="18" customHeight="1">
      <c r="A1072" s="103"/>
      <c r="B1072" s="104"/>
      <c r="C1072" s="104"/>
      <c r="D1072" s="104"/>
      <c r="E1072" s="92"/>
      <c r="F1072" s="104"/>
      <c r="G1072" s="92"/>
      <c r="H1072" s="90">
        <v>2140503</v>
      </c>
      <c r="I1072" s="90" t="s">
        <v>1112</v>
      </c>
      <c r="J1072" s="143">
        <v>0</v>
      </c>
      <c r="K1072" s="143"/>
      <c r="L1072" s="87">
        <v>0</v>
      </c>
      <c r="M1072" s="92" t="str">
        <f t="shared" si="34"/>
        <v/>
      </c>
      <c r="N1072" s="104">
        <v>0</v>
      </c>
      <c r="O1072" s="92" t="str">
        <f t="shared" si="35"/>
        <v/>
      </c>
      <c r="T1072" s="97"/>
    </row>
    <row r="1073" spans="1:21" ht="18" customHeight="1">
      <c r="A1073" s="103"/>
      <c r="B1073" s="104"/>
      <c r="C1073" s="104"/>
      <c r="D1073" s="104"/>
      <c r="E1073" s="92"/>
      <c r="F1073" s="104"/>
      <c r="G1073" s="92"/>
      <c r="H1073" s="90">
        <v>2140504</v>
      </c>
      <c r="I1073" s="90" t="s">
        <v>670</v>
      </c>
      <c r="J1073" s="143">
        <v>0</v>
      </c>
      <c r="K1073" s="143"/>
      <c r="L1073" s="87">
        <v>0</v>
      </c>
      <c r="M1073" s="92" t="str">
        <f t="shared" si="34"/>
        <v/>
      </c>
      <c r="N1073" s="104">
        <v>0</v>
      </c>
      <c r="O1073" s="92" t="str">
        <f t="shared" si="35"/>
        <v/>
      </c>
      <c r="T1073" s="97"/>
    </row>
    <row r="1074" spans="1:21" ht="18" customHeight="1">
      <c r="A1074" s="103"/>
      <c r="B1074" s="104"/>
      <c r="C1074" s="104"/>
      <c r="D1074" s="104"/>
      <c r="E1074" s="92"/>
      <c r="F1074" s="104"/>
      <c r="G1074" s="92"/>
      <c r="H1074" s="90">
        <v>2140505</v>
      </c>
      <c r="I1074" s="90" t="s">
        <v>671</v>
      </c>
      <c r="J1074" s="143">
        <v>0</v>
      </c>
      <c r="K1074" s="143"/>
      <c r="L1074" s="87">
        <v>0</v>
      </c>
      <c r="M1074" s="92" t="str">
        <f t="shared" si="34"/>
        <v/>
      </c>
      <c r="N1074" s="104">
        <v>0</v>
      </c>
      <c r="O1074" s="92" t="str">
        <f t="shared" si="35"/>
        <v/>
      </c>
      <c r="T1074" s="97"/>
    </row>
    <row r="1075" spans="1:21" ht="18" customHeight="1">
      <c r="A1075" s="103"/>
      <c r="B1075" s="104"/>
      <c r="C1075" s="104"/>
      <c r="D1075" s="104"/>
      <c r="E1075" s="92"/>
      <c r="F1075" s="104"/>
      <c r="G1075" s="92"/>
      <c r="H1075" s="90">
        <v>2140599</v>
      </c>
      <c r="I1075" s="90" t="s">
        <v>672</v>
      </c>
      <c r="J1075" s="143">
        <v>300</v>
      </c>
      <c r="K1075" s="143"/>
      <c r="L1075" s="87">
        <v>328</v>
      </c>
      <c r="M1075" s="92" t="str">
        <f t="shared" si="34"/>
        <v/>
      </c>
      <c r="N1075" s="104">
        <v>75</v>
      </c>
      <c r="O1075" s="92">
        <f t="shared" si="35"/>
        <v>3.3733333333333331</v>
      </c>
      <c r="T1075" s="97"/>
    </row>
    <row r="1076" spans="1:21" ht="18" customHeight="1">
      <c r="A1076" s="103"/>
      <c r="B1076" s="104"/>
      <c r="C1076" s="104"/>
      <c r="D1076" s="104"/>
      <c r="E1076" s="92"/>
      <c r="F1076" s="104"/>
      <c r="G1076" s="92"/>
      <c r="H1076" s="90">
        <v>21406</v>
      </c>
      <c r="I1076" s="80" t="s">
        <v>673</v>
      </c>
      <c r="J1076" s="143">
        <v>8200</v>
      </c>
      <c r="K1076" s="647">
        <v>11423</v>
      </c>
      <c r="L1076" s="87">
        <v>10778</v>
      </c>
      <c r="M1076" s="92">
        <f t="shared" si="34"/>
        <v>0.94353497329948355</v>
      </c>
      <c r="N1076" s="104">
        <v>6</v>
      </c>
      <c r="O1076" s="92">
        <f t="shared" si="35"/>
        <v>1795.3333333333333</v>
      </c>
      <c r="T1076" s="97"/>
    </row>
    <row r="1077" spans="1:21" ht="18" customHeight="1">
      <c r="A1077" s="103"/>
      <c r="B1077" s="104"/>
      <c r="C1077" s="104"/>
      <c r="D1077" s="104"/>
      <c r="E1077" s="92"/>
      <c r="F1077" s="104"/>
      <c r="G1077" s="92"/>
      <c r="H1077" s="90">
        <v>2140601</v>
      </c>
      <c r="I1077" s="90" t="s">
        <v>674</v>
      </c>
      <c r="J1077" s="143">
        <v>0</v>
      </c>
      <c r="K1077" s="143"/>
      <c r="L1077" s="87">
        <v>0</v>
      </c>
      <c r="M1077" s="92" t="str">
        <f t="shared" si="34"/>
        <v/>
      </c>
      <c r="N1077" s="104">
        <v>0</v>
      </c>
      <c r="O1077" s="92" t="str">
        <f t="shared" si="35"/>
        <v/>
      </c>
      <c r="T1077" s="97"/>
    </row>
    <row r="1078" spans="1:21" ht="18" customHeight="1">
      <c r="A1078" s="103"/>
      <c r="B1078" s="104"/>
      <c r="C1078" s="104"/>
      <c r="D1078" s="104"/>
      <c r="E1078" s="92"/>
      <c r="F1078" s="104"/>
      <c r="G1078" s="92"/>
      <c r="H1078" s="90">
        <v>2140602</v>
      </c>
      <c r="I1078" s="90" t="s">
        <v>675</v>
      </c>
      <c r="J1078" s="143">
        <v>0</v>
      </c>
      <c r="K1078" s="143"/>
      <c r="L1078" s="87">
        <v>0</v>
      </c>
      <c r="M1078" s="92" t="str">
        <f t="shared" si="34"/>
        <v/>
      </c>
      <c r="N1078" s="104">
        <v>0</v>
      </c>
      <c r="O1078" s="92" t="str">
        <f t="shared" si="35"/>
        <v/>
      </c>
      <c r="T1078" s="97"/>
    </row>
    <row r="1079" spans="1:21" ht="18" customHeight="1">
      <c r="A1079" s="103"/>
      <c r="B1079" s="104"/>
      <c r="C1079" s="104"/>
      <c r="D1079" s="104"/>
      <c r="E1079" s="92"/>
      <c r="F1079" s="104"/>
      <c r="G1079" s="92"/>
      <c r="H1079" s="90">
        <v>2140603</v>
      </c>
      <c r="I1079" s="90" t="s">
        <v>676</v>
      </c>
      <c r="J1079" s="143">
        <v>200</v>
      </c>
      <c r="K1079" s="143"/>
      <c r="L1079" s="87">
        <v>10778</v>
      </c>
      <c r="M1079" s="92" t="str">
        <f t="shared" si="34"/>
        <v/>
      </c>
      <c r="N1079" s="104">
        <v>6</v>
      </c>
      <c r="O1079" s="92">
        <f t="shared" si="35"/>
        <v>1795.3333333333333</v>
      </c>
      <c r="T1079" s="97"/>
    </row>
    <row r="1080" spans="1:21" ht="18" customHeight="1">
      <c r="A1080" s="103"/>
      <c r="B1080" s="104"/>
      <c r="C1080" s="104"/>
      <c r="D1080" s="104"/>
      <c r="E1080" s="92"/>
      <c r="F1080" s="104"/>
      <c r="G1080" s="92"/>
      <c r="H1080" s="90">
        <v>2140699</v>
      </c>
      <c r="I1080" s="90" t="s">
        <v>677</v>
      </c>
      <c r="J1080" s="143">
        <v>8000</v>
      </c>
      <c r="K1080" s="143"/>
      <c r="L1080" s="87">
        <v>0</v>
      </c>
      <c r="M1080" s="92" t="str">
        <f t="shared" si="34"/>
        <v/>
      </c>
      <c r="N1080" s="104">
        <v>0</v>
      </c>
      <c r="O1080" s="92" t="str">
        <f t="shared" si="35"/>
        <v/>
      </c>
      <c r="T1080" s="97"/>
    </row>
    <row r="1081" spans="1:21" ht="18" customHeight="1">
      <c r="A1081" s="103"/>
      <c r="B1081" s="104"/>
      <c r="C1081" s="104"/>
      <c r="D1081" s="104"/>
      <c r="E1081" s="92"/>
      <c r="F1081" s="104"/>
      <c r="G1081" s="92"/>
      <c r="H1081" s="90">
        <v>21499</v>
      </c>
      <c r="I1081" s="80" t="s">
        <v>678</v>
      </c>
      <c r="J1081" s="143">
        <f>-500000+3688534</f>
        <v>3188534</v>
      </c>
      <c r="K1081" s="647">
        <v>9820208</v>
      </c>
      <c r="L1081" s="87">
        <v>9820208</v>
      </c>
      <c r="M1081" s="92">
        <f t="shared" si="34"/>
        <v>1</v>
      </c>
      <c r="N1081" s="104">
        <v>2421950</v>
      </c>
      <c r="O1081" s="92">
        <f t="shared" si="35"/>
        <v>3.0546699973162124</v>
      </c>
      <c r="T1081" s="97"/>
    </row>
    <row r="1082" spans="1:21" ht="18" customHeight="1">
      <c r="A1082" s="103"/>
      <c r="B1082" s="104"/>
      <c r="C1082" s="104"/>
      <c r="D1082" s="104"/>
      <c r="E1082" s="92"/>
      <c r="F1082" s="104"/>
      <c r="G1082" s="92"/>
      <c r="H1082" s="90">
        <v>2149901</v>
      </c>
      <c r="I1082" s="90" t="s">
        <v>679</v>
      </c>
      <c r="J1082" s="143">
        <v>690820</v>
      </c>
      <c r="K1082" s="143"/>
      <c r="L1082" s="87">
        <v>472754</v>
      </c>
      <c r="M1082" s="92" t="str">
        <f t="shared" si="34"/>
        <v/>
      </c>
      <c r="N1082" s="104">
        <v>0</v>
      </c>
      <c r="O1082" s="92" t="str">
        <f t="shared" si="35"/>
        <v/>
      </c>
      <c r="T1082" s="97"/>
    </row>
    <row r="1083" spans="1:21" ht="18" customHeight="1">
      <c r="A1083" s="103"/>
      <c r="B1083" s="104"/>
      <c r="C1083" s="104"/>
      <c r="D1083" s="104"/>
      <c r="E1083" s="92"/>
      <c r="F1083" s="104"/>
      <c r="G1083" s="92"/>
      <c r="H1083" s="90">
        <v>2149999</v>
      </c>
      <c r="I1083" s="90" t="s">
        <v>680</v>
      </c>
      <c r="J1083" s="143">
        <f>-500000+2997714</f>
        <v>2497714</v>
      </c>
      <c r="K1083" s="143"/>
      <c r="L1083" s="87">
        <v>9347454</v>
      </c>
      <c r="M1083" s="92" t="str">
        <f t="shared" si="34"/>
        <v/>
      </c>
      <c r="N1083" s="104">
        <v>2421950</v>
      </c>
      <c r="O1083" s="92">
        <f t="shared" si="35"/>
        <v>2.8594743904704885</v>
      </c>
      <c r="T1083" s="97"/>
    </row>
    <row r="1084" spans="1:21" s="112" customFormat="1" ht="18" customHeight="1">
      <c r="A1084" s="111"/>
      <c r="B1084" s="109"/>
      <c r="C1084" s="109"/>
      <c r="D1084" s="109"/>
      <c r="E1084" s="82"/>
      <c r="F1084" s="109"/>
      <c r="G1084" s="82"/>
      <c r="H1084" s="80">
        <v>215</v>
      </c>
      <c r="I1084" s="80" t="s">
        <v>681</v>
      </c>
      <c r="J1084" s="110">
        <f>-1000000+1807320</f>
        <v>807320</v>
      </c>
      <c r="K1084" s="656">
        <v>1155781</v>
      </c>
      <c r="L1084" s="77">
        <v>1019134</v>
      </c>
      <c r="M1084" s="82">
        <f t="shared" si="34"/>
        <v>0.88177085451309545</v>
      </c>
      <c r="N1084" s="109">
        <v>830202</v>
      </c>
      <c r="O1084" s="82">
        <f t="shared" si="35"/>
        <v>0.22757353029744576</v>
      </c>
      <c r="P1084" s="84"/>
      <c r="T1084" s="96"/>
    </row>
    <row r="1085" spans="1:21" ht="18" customHeight="1">
      <c r="A1085" s="103"/>
      <c r="B1085" s="104"/>
      <c r="C1085" s="104"/>
      <c r="D1085" s="104"/>
      <c r="E1085" s="92"/>
      <c r="F1085" s="104"/>
      <c r="G1085" s="92"/>
      <c r="H1085" s="90">
        <v>21501</v>
      </c>
      <c r="I1085" s="80" t="s">
        <v>682</v>
      </c>
      <c r="J1085" s="143">
        <v>0</v>
      </c>
      <c r="K1085" s="647">
        <v>2249</v>
      </c>
      <c r="L1085" s="87">
        <v>2249</v>
      </c>
      <c r="M1085" s="92">
        <f t="shared" si="34"/>
        <v>1</v>
      </c>
      <c r="N1085" s="104">
        <v>0</v>
      </c>
      <c r="O1085" s="92" t="str">
        <f t="shared" si="35"/>
        <v/>
      </c>
      <c r="T1085" s="96" t="s">
        <v>1072</v>
      </c>
      <c r="U1085" s="63">
        <v>313895</v>
      </c>
    </row>
    <row r="1086" spans="1:21" ht="18" customHeight="1">
      <c r="A1086" s="103"/>
      <c r="B1086" s="104"/>
      <c r="C1086" s="104"/>
      <c r="D1086" s="104"/>
      <c r="E1086" s="92"/>
      <c r="F1086" s="104"/>
      <c r="G1086" s="92"/>
      <c r="H1086" s="90">
        <v>2150101</v>
      </c>
      <c r="I1086" s="90" t="s">
        <v>1110</v>
      </c>
      <c r="J1086" s="143">
        <v>0</v>
      </c>
      <c r="K1086" s="143"/>
      <c r="L1086" s="87">
        <v>797</v>
      </c>
      <c r="M1086" s="92" t="str">
        <f t="shared" si="34"/>
        <v/>
      </c>
      <c r="N1086" s="104">
        <v>0</v>
      </c>
      <c r="O1086" s="92" t="str">
        <f t="shared" si="35"/>
        <v/>
      </c>
      <c r="T1086" s="97" t="s">
        <v>1073</v>
      </c>
      <c r="U1086" s="63">
        <v>0</v>
      </c>
    </row>
    <row r="1087" spans="1:21" ht="18" customHeight="1">
      <c r="A1087" s="103"/>
      <c r="B1087" s="104"/>
      <c r="C1087" s="104"/>
      <c r="D1087" s="104"/>
      <c r="E1087" s="92"/>
      <c r="F1087" s="104"/>
      <c r="G1087" s="92"/>
      <c r="H1087" s="90">
        <v>2150102</v>
      </c>
      <c r="I1087" s="90" t="s">
        <v>1111</v>
      </c>
      <c r="J1087" s="143">
        <v>0</v>
      </c>
      <c r="K1087" s="143"/>
      <c r="L1087" s="87">
        <v>0</v>
      </c>
      <c r="M1087" s="92" t="str">
        <f t="shared" si="34"/>
        <v/>
      </c>
      <c r="N1087" s="104">
        <v>0</v>
      </c>
      <c r="O1087" s="92" t="str">
        <f t="shared" si="35"/>
        <v/>
      </c>
      <c r="T1087" s="97" t="s">
        <v>689</v>
      </c>
      <c r="U1087" s="63">
        <v>82948</v>
      </c>
    </row>
    <row r="1088" spans="1:21" ht="18" customHeight="1">
      <c r="A1088" s="103"/>
      <c r="B1088" s="104"/>
      <c r="C1088" s="104"/>
      <c r="D1088" s="104"/>
      <c r="E1088" s="92"/>
      <c r="F1088" s="104"/>
      <c r="G1088" s="92"/>
      <c r="H1088" s="90">
        <v>2150103</v>
      </c>
      <c r="I1088" s="90" t="s">
        <v>1112</v>
      </c>
      <c r="J1088" s="143">
        <v>0</v>
      </c>
      <c r="K1088" s="143"/>
      <c r="L1088" s="87">
        <v>0</v>
      </c>
      <c r="M1088" s="92" t="str">
        <f t="shared" si="34"/>
        <v/>
      </c>
      <c r="N1088" s="104">
        <v>0</v>
      </c>
      <c r="O1088" s="92" t="str">
        <f t="shared" si="35"/>
        <v/>
      </c>
      <c r="T1088" s="97" t="s">
        <v>702</v>
      </c>
      <c r="U1088" s="63">
        <v>4919</v>
      </c>
    </row>
    <row r="1089" spans="1:21" ht="18" customHeight="1">
      <c r="A1089" s="103"/>
      <c r="B1089" s="104"/>
      <c r="C1089" s="104"/>
      <c r="D1089" s="104"/>
      <c r="E1089" s="92"/>
      <c r="F1089" s="104"/>
      <c r="G1089" s="92"/>
      <c r="H1089" s="90">
        <v>2150104</v>
      </c>
      <c r="I1089" s="90" t="s">
        <v>683</v>
      </c>
      <c r="J1089" s="143">
        <v>0</v>
      </c>
      <c r="K1089" s="143"/>
      <c r="L1089" s="87">
        <v>0</v>
      </c>
      <c r="M1089" s="92" t="str">
        <f t="shared" si="34"/>
        <v/>
      </c>
      <c r="N1089" s="104">
        <v>0</v>
      </c>
      <c r="O1089" s="92" t="str">
        <f t="shared" si="35"/>
        <v/>
      </c>
      <c r="T1089" s="97" t="s">
        <v>1074</v>
      </c>
      <c r="U1089" s="63">
        <v>0</v>
      </c>
    </row>
    <row r="1090" spans="1:21" ht="18" customHeight="1">
      <c r="A1090" s="103"/>
      <c r="B1090" s="104"/>
      <c r="C1090" s="104"/>
      <c r="D1090" s="104"/>
      <c r="E1090" s="92"/>
      <c r="F1090" s="104"/>
      <c r="G1090" s="92"/>
      <c r="H1090" s="90">
        <v>2150105</v>
      </c>
      <c r="I1090" s="90" t="s">
        <v>684</v>
      </c>
      <c r="J1090" s="143">
        <v>0</v>
      </c>
      <c r="K1090" s="143"/>
      <c r="L1090" s="87">
        <v>0</v>
      </c>
      <c r="M1090" s="92" t="str">
        <f t="shared" si="34"/>
        <v/>
      </c>
      <c r="N1090" s="104">
        <v>0</v>
      </c>
      <c r="O1090" s="92" t="str">
        <f t="shared" si="35"/>
        <v/>
      </c>
      <c r="T1090" s="97" t="s">
        <v>1075</v>
      </c>
      <c r="U1090" s="63">
        <v>0</v>
      </c>
    </row>
    <row r="1091" spans="1:21" ht="18" customHeight="1">
      <c r="A1091" s="103"/>
      <c r="B1091" s="104"/>
      <c r="C1091" s="104"/>
      <c r="D1091" s="104"/>
      <c r="E1091" s="92"/>
      <c r="F1091" s="104"/>
      <c r="G1091" s="92"/>
      <c r="H1091" s="90">
        <v>2150106</v>
      </c>
      <c r="I1091" s="90" t="s">
        <v>685</v>
      </c>
      <c r="J1091" s="143">
        <v>0</v>
      </c>
      <c r="K1091" s="143"/>
      <c r="L1091" s="87">
        <v>0</v>
      </c>
      <c r="M1091" s="92" t="str">
        <f t="shared" si="34"/>
        <v/>
      </c>
      <c r="N1091" s="104">
        <v>0</v>
      </c>
      <c r="O1091" s="92" t="str">
        <f t="shared" si="35"/>
        <v/>
      </c>
      <c r="T1091" s="97" t="s">
        <v>1076</v>
      </c>
      <c r="U1091" s="63">
        <v>22749</v>
      </c>
    </row>
    <row r="1092" spans="1:21" ht="18" customHeight="1">
      <c r="A1092" s="103"/>
      <c r="B1092" s="104"/>
      <c r="C1092" s="104"/>
      <c r="D1092" s="104"/>
      <c r="E1092" s="92"/>
      <c r="F1092" s="104"/>
      <c r="G1092" s="92"/>
      <c r="H1092" s="90">
        <v>2150107</v>
      </c>
      <c r="I1092" s="90" t="s">
        <v>686</v>
      </c>
      <c r="J1092" s="143">
        <v>0</v>
      </c>
      <c r="K1092" s="143"/>
      <c r="L1092" s="87">
        <v>0</v>
      </c>
      <c r="M1092" s="92" t="str">
        <f t="shared" si="34"/>
        <v/>
      </c>
      <c r="N1092" s="104">
        <v>0</v>
      </c>
      <c r="O1092" s="92" t="str">
        <f t="shared" si="35"/>
        <v/>
      </c>
      <c r="T1092" s="97" t="s">
        <v>715</v>
      </c>
      <c r="U1092" s="63">
        <v>997</v>
      </c>
    </row>
    <row r="1093" spans="1:21" ht="18" customHeight="1">
      <c r="A1093" s="103"/>
      <c r="B1093" s="104"/>
      <c r="C1093" s="104"/>
      <c r="D1093" s="104"/>
      <c r="E1093" s="92"/>
      <c r="F1093" s="104"/>
      <c r="G1093" s="92"/>
      <c r="H1093" s="90">
        <v>2150108</v>
      </c>
      <c r="I1093" s="90" t="s">
        <v>687</v>
      </c>
      <c r="J1093" s="143">
        <v>0</v>
      </c>
      <c r="K1093" s="143"/>
      <c r="L1093" s="87">
        <v>0</v>
      </c>
      <c r="M1093" s="92" t="str">
        <f t="shared" si="34"/>
        <v/>
      </c>
      <c r="N1093" s="104">
        <v>0</v>
      </c>
      <c r="O1093" s="92" t="str">
        <f t="shared" si="35"/>
        <v/>
      </c>
      <c r="T1093" s="97" t="s">
        <v>721</v>
      </c>
      <c r="U1093" s="63">
        <v>3654</v>
      </c>
    </row>
    <row r="1094" spans="1:21" ht="18" customHeight="1">
      <c r="A1094" s="103"/>
      <c r="B1094" s="104"/>
      <c r="C1094" s="104"/>
      <c r="D1094" s="104"/>
      <c r="E1094" s="92"/>
      <c r="F1094" s="104"/>
      <c r="G1094" s="92"/>
      <c r="H1094" s="90">
        <v>2150199</v>
      </c>
      <c r="I1094" s="90" t="s">
        <v>688</v>
      </c>
      <c r="J1094" s="143">
        <v>0</v>
      </c>
      <c r="K1094" s="143"/>
      <c r="L1094" s="87">
        <v>1452</v>
      </c>
      <c r="M1094" s="92" t="str">
        <f t="shared" ref="M1094:M1157" si="36">+IF(ISERROR(L1094/K1094),"",L1094/K1094)</f>
        <v/>
      </c>
      <c r="N1094" s="104">
        <v>0</v>
      </c>
      <c r="O1094" s="92" t="str">
        <f t="shared" si="35"/>
        <v/>
      </c>
      <c r="T1094" s="97" t="s">
        <v>725</v>
      </c>
      <c r="U1094" s="63">
        <v>33961</v>
      </c>
    </row>
    <row r="1095" spans="1:21" ht="18" customHeight="1">
      <c r="A1095" s="103"/>
      <c r="B1095" s="104"/>
      <c r="C1095" s="104"/>
      <c r="D1095" s="104"/>
      <c r="E1095" s="92"/>
      <c r="F1095" s="104"/>
      <c r="G1095" s="92"/>
      <c r="H1095" s="90">
        <v>21502</v>
      </c>
      <c r="I1095" s="80" t="s">
        <v>689</v>
      </c>
      <c r="J1095" s="143">
        <v>223595</v>
      </c>
      <c r="K1095" s="647">
        <v>148069</v>
      </c>
      <c r="L1095" s="87">
        <v>98658</v>
      </c>
      <c r="M1095" s="92">
        <f t="shared" si="36"/>
        <v>0.66629746942303925</v>
      </c>
      <c r="N1095" s="104">
        <v>68000</v>
      </c>
      <c r="O1095" s="92">
        <f t="shared" ref="O1095:O1158" si="37">IF(ISERROR(L1095/N1095-1),"",(L1095/N1095-1))</f>
        <v>0.45085294117647057</v>
      </c>
      <c r="T1095" s="97" t="s">
        <v>1077</v>
      </c>
      <c r="U1095" s="63">
        <v>164667</v>
      </c>
    </row>
    <row r="1096" spans="1:21" ht="18" customHeight="1">
      <c r="A1096" s="103"/>
      <c r="B1096" s="104"/>
      <c r="C1096" s="104"/>
      <c r="D1096" s="104"/>
      <c r="E1096" s="92"/>
      <c r="F1096" s="104"/>
      <c r="G1096" s="92"/>
      <c r="H1096" s="90">
        <v>2150201</v>
      </c>
      <c r="I1096" s="90" t="s">
        <v>1110</v>
      </c>
      <c r="J1096" s="143"/>
      <c r="K1096" s="143"/>
      <c r="L1096" s="87">
        <v>0</v>
      </c>
      <c r="M1096" s="92" t="str">
        <f t="shared" si="36"/>
        <v/>
      </c>
      <c r="N1096" s="104">
        <v>0</v>
      </c>
      <c r="O1096" s="92" t="str">
        <f t="shared" si="37"/>
        <v/>
      </c>
      <c r="T1096" s="97"/>
    </row>
    <row r="1097" spans="1:21" ht="18" customHeight="1">
      <c r="A1097" s="103"/>
      <c r="B1097" s="104"/>
      <c r="C1097" s="104"/>
      <c r="D1097" s="104"/>
      <c r="E1097" s="92"/>
      <c r="F1097" s="104"/>
      <c r="G1097" s="92"/>
      <c r="H1097" s="90">
        <v>2150202</v>
      </c>
      <c r="I1097" s="90" t="s">
        <v>1111</v>
      </c>
      <c r="J1097" s="143"/>
      <c r="K1097" s="143"/>
      <c r="L1097" s="87">
        <v>0</v>
      </c>
      <c r="M1097" s="92" t="str">
        <f t="shared" si="36"/>
        <v/>
      </c>
      <c r="N1097" s="104">
        <v>0</v>
      </c>
      <c r="O1097" s="92" t="str">
        <f t="shared" si="37"/>
        <v/>
      </c>
      <c r="T1097" s="97"/>
    </row>
    <row r="1098" spans="1:21" ht="18" customHeight="1">
      <c r="A1098" s="103"/>
      <c r="B1098" s="104"/>
      <c r="C1098" s="104"/>
      <c r="D1098" s="104"/>
      <c r="E1098" s="92"/>
      <c r="F1098" s="104"/>
      <c r="G1098" s="92"/>
      <c r="H1098" s="90">
        <v>2150203</v>
      </c>
      <c r="I1098" s="90" t="s">
        <v>1112</v>
      </c>
      <c r="J1098" s="143"/>
      <c r="K1098" s="143"/>
      <c r="L1098" s="87">
        <v>0</v>
      </c>
      <c r="M1098" s="92" t="str">
        <f t="shared" si="36"/>
        <v/>
      </c>
      <c r="N1098" s="104">
        <v>0</v>
      </c>
      <c r="O1098" s="92" t="str">
        <f t="shared" si="37"/>
        <v/>
      </c>
      <c r="T1098" s="97"/>
    </row>
    <row r="1099" spans="1:21" ht="18" customHeight="1">
      <c r="A1099" s="103"/>
      <c r="B1099" s="104"/>
      <c r="C1099" s="104"/>
      <c r="D1099" s="104"/>
      <c r="E1099" s="92"/>
      <c r="F1099" s="104"/>
      <c r="G1099" s="92"/>
      <c r="H1099" s="90">
        <v>2150204</v>
      </c>
      <c r="I1099" s="90" t="s">
        <v>690</v>
      </c>
      <c r="J1099" s="143"/>
      <c r="K1099" s="143"/>
      <c r="L1099" s="87">
        <v>0</v>
      </c>
      <c r="M1099" s="92" t="str">
        <f t="shared" si="36"/>
        <v/>
      </c>
      <c r="N1099" s="104">
        <v>0</v>
      </c>
      <c r="O1099" s="92" t="str">
        <f t="shared" si="37"/>
        <v/>
      </c>
      <c r="T1099" s="97"/>
    </row>
    <row r="1100" spans="1:21" ht="18" customHeight="1">
      <c r="A1100" s="103"/>
      <c r="B1100" s="104"/>
      <c r="C1100" s="104"/>
      <c r="D1100" s="104"/>
      <c r="E1100" s="92"/>
      <c r="F1100" s="104"/>
      <c r="G1100" s="92"/>
      <c r="H1100" s="90">
        <v>2150205</v>
      </c>
      <c r="I1100" s="90" t="s">
        <v>691</v>
      </c>
      <c r="J1100" s="143"/>
      <c r="K1100" s="143"/>
      <c r="L1100" s="87">
        <v>0</v>
      </c>
      <c r="M1100" s="92" t="str">
        <f t="shared" si="36"/>
        <v/>
      </c>
      <c r="N1100" s="104">
        <v>0</v>
      </c>
      <c r="O1100" s="92" t="str">
        <f t="shared" si="37"/>
        <v/>
      </c>
      <c r="T1100" s="97"/>
    </row>
    <row r="1101" spans="1:21" ht="18" customHeight="1">
      <c r="A1101" s="103"/>
      <c r="B1101" s="104"/>
      <c r="C1101" s="104"/>
      <c r="D1101" s="104"/>
      <c r="E1101" s="92"/>
      <c r="F1101" s="104"/>
      <c r="G1101" s="92"/>
      <c r="H1101" s="90">
        <v>2150206</v>
      </c>
      <c r="I1101" s="90" t="s">
        <v>692</v>
      </c>
      <c r="J1101" s="143"/>
      <c r="K1101" s="143"/>
      <c r="L1101" s="87">
        <v>0</v>
      </c>
      <c r="M1101" s="92" t="str">
        <f t="shared" si="36"/>
        <v/>
      </c>
      <c r="N1101" s="104">
        <v>0</v>
      </c>
      <c r="O1101" s="92" t="str">
        <f t="shared" si="37"/>
        <v/>
      </c>
      <c r="T1101" s="97"/>
    </row>
    <row r="1102" spans="1:21" ht="18" customHeight="1">
      <c r="A1102" s="103"/>
      <c r="B1102" s="104"/>
      <c r="C1102" s="104"/>
      <c r="D1102" s="104"/>
      <c r="E1102" s="92"/>
      <c r="F1102" s="104"/>
      <c r="G1102" s="92"/>
      <c r="H1102" s="90">
        <v>2150207</v>
      </c>
      <c r="I1102" s="90" t="s">
        <v>693</v>
      </c>
      <c r="J1102" s="143"/>
      <c r="K1102" s="143"/>
      <c r="L1102" s="87">
        <v>1114</v>
      </c>
      <c r="M1102" s="92" t="str">
        <f t="shared" si="36"/>
        <v/>
      </c>
      <c r="N1102" s="104">
        <v>0</v>
      </c>
      <c r="O1102" s="92" t="str">
        <f t="shared" si="37"/>
        <v/>
      </c>
      <c r="T1102" s="97"/>
    </row>
    <row r="1103" spans="1:21" ht="18" customHeight="1">
      <c r="A1103" s="103"/>
      <c r="B1103" s="104"/>
      <c r="C1103" s="104"/>
      <c r="D1103" s="104"/>
      <c r="E1103" s="92"/>
      <c r="F1103" s="104"/>
      <c r="G1103" s="92"/>
      <c r="H1103" s="90">
        <v>2150208</v>
      </c>
      <c r="I1103" s="90" t="s">
        <v>694</v>
      </c>
      <c r="J1103" s="143"/>
      <c r="K1103" s="143"/>
      <c r="L1103" s="87">
        <v>0</v>
      </c>
      <c r="M1103" s="92" t="str">
        <f t="shared" si="36"/>
        <v/>
      </c>
      <c r="N1103" s="104">
        <v>0</v>
      </c>
      <c r="O1103" s="92" t="str">
        <f t="shared" si="37"/>
        <v/>
      </c>
      <c r="T1103" s="97"/>
    </row>
    <row r="1104" spans="1:21" ht="18" customHeight="1">
      <c r="A1104" s="103"/>
      <c r="B1104" s="104"/>
      <c r="C1104" s="104"/>
      <c r="D1104" s="104"/>
      <c r="E1104" s="92"/>
      <c r="F1104" s="104"/>
      <c r="G1104" s="92"/>
      <c r="H1104" s="90">
        <v>2150209</v>
      </c>
      <c r="I1104" s="90" t="s">
        <v>695</v>
      </c>
      <c r="J1104" s="143"/>
      <c r="K1104" s="143"/>
      <c r="L1104" s="87">
        <v>0</v>
      </c>
      <c r="M1104" s="92" t="str">
        <f t="shared" si="36"/>
        <v/>
      </c>
      <c r="N1104" s="104">
        <v>0</v>
      </c>
      <c r="O1104" s="92" t="str">
        <f t="shared" si="37"/>
        <v/>
      </c>
      <c r="T1104" s="97"/>
    </row>
    <row r="1105" spans="1:20" ht="18" customHeight="1">
      <c r="A1105" s="103"/>
      <c r="B1105" s="104"/>
      <c r="C1105" s="104"/>
      <c r="D1105" s="104"/>
      <c r="E1105" s="92"/>
      <c r="F1105" s="104"/>
      <c r="G1105" s="92"/>
      <c r="H1105" s="90">
        <v>2150210</v>
      </c>
      <c r="I1105" s="90" t="s">
        <v>696</v>
      </c>
      <c r="J1105" s="143"/>
      <c r="K1105" s="143"/>
      <c r="L1105" s="87">
        <v>0</v>
      </c>
      <c r="M1105" s="92" t="str">
        <f t="shared" si="36"/>
        <v/>
      </c>
      <c r="N1105" s="104">
        <v>0</v>
      </c>
      <c r="O1105" s="92" t="str">
        <f t="shared" si="37"/>
        <v/>
      </c>
      <c r="T1105" s="97"/>
    </row>
    <row r="1106" spans="1:20" ht="18" customHeight="1">
      <c r="A1106" s="103"/>
      <c r="B1106" s="104"/>
      <c r="C1106" s="104"/>
      <c r="D1106" s="104"/>
      <c r="E1106" s="92"/>
      <c r="F1106" s="104"/>
      <c r="G1106" s="92"/>
      <c r="H1106" s="90">
        <v>2150212</v>
      </c>
      <c r="I1106" s="90" t="s">
        <v>697</v>
      </c>
      <c r="J1106" s="143"/>
      <c r="K1106" s="143"/>
      <c r="L1106" s="87">
        <v>0</v>
      </c>
      <c r="M1106" s="92" t="str">
        <f t="shared" si="36"/>
        <v/>
      </c>
      <c r="N1106" s="104">
        <v>0</v>
      </c>
      <c r="O1106" s="92" t="str">
        <f t="shared" si="37"/>
        <v/>
      </c>
      <c r="T1106" s="97"/>
    </row>
    <row r="1107" spans="1:20" ht="18" customHeight="1">
      <c r="A1107" s="103"/>
      <c r="B1107" s="104"/>
      <c r="C1107" s="104"/>
      <c r="D1107" s="104"/>
      <c r="E1107" s="92"/>
      <c r="F1107" s="104"/>
      <c r="G1107" s="92"/>
      <c r="H1107" s="90">
        <v>2150213</v>
      </c>
      <c r="I1107" s="90" t="s">
        <v>698</v>
      </c>
      <c r="J1107" s="143"/>
      <c r="K1107" s="143"/>
      <c r="L1107" s="87">
        <v>0</v>
      </c>
      <c r="M1107" s="92" t="str">
        <f t="shared" si="36"/>
        <v/>
      </c>
      <c r="N1107" s="104">
        <v>0</v>
      </c>
      <c r="O1107" s="92" t="str">
        <f t="shared" si="37"/>
        <v/>
      </c>
      <c r="T1107" s="97"/>
    </row>
    <row r="1108" spans="1:20" ht="18" customHeight="1">
      <c r="A1108" s="103"/>
      <c r="B1108" s="104"/>
      <c r="C1108" s="104"/>
      <c r="D1108" s="104"/>
      <c r="E1108" s="92"/>
      <c r="F1108" s="104"/>
      <c r="G1108" s="92"/>
      <c r="H1108" s="90">
        <v>2150214</v>
      </c>
      <c r="I1108" s="90" t="s">
        <v>699</v>
      </c>
      <c r="J1108" s="143"/>
      <c r="K1108" s="143"/>
      <c r="L1108" s="87">
        <v>0</v>
      </c>
      <c r="M1108" s="92" t="str">
        <f t="shared" si="36"/>
        <v/>
      </c>
      <c r="N1108" s="104">
        <v>0</v>
      </c>
      <c r="O1108" s="92" t="str">
        <f t="shared" si="37"/>
        <v/>
      </c>
      <c r="T1108" s="97"/>
    </row>
    <row r="1109" spans="1:20" ht="18" customHeight="1">
      <c r="A1109" s="103"/>
      <c r="B1109" s="104"/>
      <c r="C1109" s="104"/>
      <c r="D1109" s="104"/>
      <c r="E1109" s="92"/>
      <c r="F1109" s="104"/>
      <c r="G1109" s="92"/>
      <c r="H1109" s="90">
        <v>2150215</v>
      </c>
      <c r="I1109" s="90" t="s">
        <v>700</v>
      </c>
      <c r="J1109" s="143"/>
      <c r="K1109" s="143"/>
      <c r="L1109" s="87">
        <v>0</v>
      </c>
      <c r="M1109" s="92" t="str">
        <f t="shared" si="36"/>
        <v/>
      </c>
      <c r="N1109" s="104">
        <v>0</v>
      </c>
      <c r="O1109" s="92" t="str">
        <f t="shared" si="37"/>
        <v/>
      </c>
      <c r="T1109" s="97"/>
    </row>
    <row r="1110" spans="1:20" ht="18" customHeight="1">
      <c r="A1110" s="103"/>
      <c r="B1110" s="104"/>
      <c r="C1110" s="104"/>
      <c r="D1110" s="104"/>
      <c r="E1110" s="92"/>
      <c r="F1110" s="104"/>
      <c r="G1110" s="92"/>
      <c r="H1110" s="90">
        <v>2150299</v>
      </c>
      <c r="I1110" s="90" t="s">
        <v>701</v>
      </c>
      <c r="J1110" s="143">
        <v>223595</v>
      </c>
      <c r="K1110" s="143"/>
      <c r="L1110" s="87">
        <v>97544</v>
      </c>
      <c r="M1110" s="92" t="str">
        <f t="shared" si="36"/>
        <v/>
      </c>
      <c r="N1110" s="104">
        <v>68000</v>
      </c>
      <c r="O1110" s="92">
        <f t="shared" si="37"/>
        <v>0.43447058823529416</v>
      </c>
      <c r="T1110" s="97"/>
    </row>
    <row r="1111" spans="1:20" ht="18" customHeight="1">
      <c r="A1111" s="103"/>
      <c r="B1111" s="104"/>
      <c r="C1111" s="104"/>
      <c r="D1111" s="104"/>
      <c r="E1111" s="92"/>
      <c r="F1111" s="104"/>
      <c r="G1111" s="92"/>
      <c r="H1111" s="90">
        <v>21503</v>
      </c>
      <c r="I1111" s="80" t="s">
        <v>702</v>
      </c>
      <c r="J1111" s="143">
        <v>5667</v>
      </c>
      <c r="K1111" s="647">
        <v>8282</v>
      </c>
      <c r="L1111" s="87">
        <v>8282</v>
      </c>
      <c r="M1111" s="92">
        <f t="shared" si="36"/>
        <v>1</v>
      </c>
      <c r="N1111" s="104">
        <v>5676</v>
      </c>
      <c r="O1111" s="92">
        <f t="shared" si="37"/>
        <v>0.45912614517265671</v>
      </c>
      <c r="T1111" s="97"/>
    </row>
    <row r="1112" spans="1:20" ht="18" customHeight="1">
      <c r="A1112" s="103"/>
      <c r="B1112" s="104"/>
      <c r="C1112" s="104"/>
      <c r="D1112" s="104"/>
      <c r="E1112" s="92"/>
      <c r="F1112" s="104"/>
      <c r="G1112" s="92"/>
      <c r="H1112" s="90">
        <v>2150301</v>
      </c>
      <c r="I1112" s="90" t="s">
        <v>1110</v>
      </c>
      <c r="J1112" s="143">
        <v>0</v>
      </c>
      <c r="K1112" s="143"/>
      <c r="L1112" s="87">
        <v>574</v>
      </c>
      <c r="M1112" s="92" t="str">
        <f t="shared" si="36"/>
        <v/>
      </c>
      <c r="N1112" s="104">
        <v>224</v>
      </c>
      <c r="O1112" s="92">
        <f t="shared" si="37"/>
        <v>1.5625</v>
      </c>
      <c r="T1112" s="97"/>
    </row>
    <row r="1113" spans="1:20" ht="18" customHeight="1">
      <c r="A1113" s="103"/>
      <c r="B1113" s="104"/>
      <c r="C1113" s="104"/>
      <c r="D1113" s="104"/>
      <c r="E1113" s="92"/>
      <c r="F1113" s="104"/>
      <c r="G1113" s="92"/>
      <c r="H1113" s="90">
        <v>2150302</v>
      </c>
      <c r="I1113" s="90" t="s">
        <v>1111</v>
      </c>
      <c r="J1113" s="143">
        <v>0</v>
      </c>
      <c r="K1113" s="143"/>
      <c r="L1113" s="87">
        <v>0</v>
      </c>
      <c r="M1113" s="92" t="str">
        <f t="shared" si="36"/>
        <v/>
      </c>
      <c r="N1113" s="104">
        <v>0</v>
      </c>
      <c r="O1113" s="92" t="str">
        <f t="shared" si="37"/>
        <v/>
      </c>
      <c r="T1113" s="97"/>
    </row>
    <row r="1114" spans="1:20" ht="18" customHeight="1">
      <c r="A1114" s="103"/>
      <c r="B1114" s="104"/>
      <c r="C1114" s="104"/>
      <c r="D1114" s="104"/>
      <c r="E1114" s="92"/>
      <c r="F1114" s="104"/>
      <c r="G1114" s="92"/>
      <c r="H1114" s="90">
        <v>2150303</v>
      </c>
      <c r="I1114" s="90" t="s">
        <v>1112</v>
      </c>
      <c r="J1114" s="143">
        <v>0</v>
      </c>
      <c r="K1114" s="143"/>
      <c r="L1114" s="87">
        <v>0</v>
      </c>
      <c r="M1114" s="92" t="str">
        <f t="shared" si="36"/>
        <v/>
      </c>
      <c r="N1114" s="104">
        <v>0</v>
      </c>
      <c r="O1114" s="92" t="str">
        <f t="shared" si="37"/>
        <v/>
      </c>
      <c r="T1114" s="97"/>
    </row>
    <row r="1115" spans="1:20" ht="18" customHeight="1">
      <c r="A1115" s="103"/>
      <c r="B1115" s="104"/>
      <c r="C1115" s="104"/>
      <c r="D1115" s="104"/>
      <c r="E1115" s="92"/>
      <c r="F1115" s="104"/>
      <c r="G1115" s="92"/>
      <c r="H1115" s="90">
        <v>2150399</v>
      </c>
      <c r="I1115" s="90" t="s">
        <v>703</v>
      </c>
      <c r="J1115" s="143">
        <v>5667</v>
      </c>
      <c r="K1115" s="143"/>
      <c r="L1115" s="87">
        <v>7708</v>
      </c>
      <c r="M1115" s="92" t="str">
        <f t="shared" si="36"/>
        <v/>
      </c>
      <c r="N1115" s="104">
        <v>5452</v>
      </c>
      <c r="O1115" s="92">
        <f t="shared" si="37"/>
        <v>0.4137931034482758</v>
      </c>
      <c r="T1115" s="97"/>
    </row>
    <row r="1116" spans="1:20" ht="18" customHeight="1">
      <c r="A1116" s="103"/>
      <c r="B1116" s="104"/>
      <c r="C1116" s="104"/>
      <c r="D1116" s="104"/>
      <c r="E1116" s="92"/>
      <c r="F1116" s="104"/>
      <c r="G1116" s="92"/>
      <c r="H1116" s="90">
        <v>21505</v>
      </c>
      <c r="I1116" s="80" t="s">
        <v>704</v>
      </c>
      <c r="J1116" s="143">
        <v>83091</v>
      </c>
      <c r="K1116" s="647">
        <v>63071</v>
      </c>
      <c r="L1116" s="87">
        <v>38992</v>
      </c>
      <c r="M1116" s="92">
        <f t="shared" si="36"/>
        <v>0.61822390639120994</v>
      </c>
      <c r="N1116" s="104">
        <v>3388</v>
      </c>
      <c r="O1116" s="92">
        <f t="shared" si="37"/>
        <v>10.508854781582054</v>
      </c>
      <c r="T1116" s="97"/>
    </row>
    <row r="1117" spans="1:20" ht="18" customHeight="1">
      <c r="A1117" s="103"/>
      <c r="B1117" s="104"/>
      <c r="C1117" s="104"/>
      <c r="D1117" s="104"/>
      <c r="E1117" s="92"/>
      <c r="F1117" s="104"/>
      <c r="G1117" s="92"/>
      <c r="H1117" s="90">
        <v>2150501</v>
      </c>
      <c r="I1117" s="90" t="s">
        <v>1110</v>
      </c>
      <c r="J1117" s="143">
        <v>0</v>
      </c>
      <c r="K1117" s="143"/>
      <c r="L1117" s="87">
        <v>0</v>
      </c>
      <c r="M1117" s="92" t="str">
        <f t="shared" si="36"/>
        <v/>
      </c>
      <c r="N1117" s="104">
        <v>0</v>
      </c>
      <c r="O1117" s="92" t="str">
        <f t="shared" si="37"/>
        <v/>
      </c>
      <c r="T1117" s="97"/>
    </row>
    <row r="1118" spans="1:20" ht="18" customHeight="1">
      <c r="A1118" s="103"/>
      <c r="B1118" s="104"/>
      <c r="C1118" s="104"/>
      <c r="D1118" s="104"/>
      <c r="E1118" s="92"/>
      <c r="F1118" s="104"/>
      <c r="G1118" s="92"/>
      <c r="H1118" s="90">
        <v>2150502</v>
      </c>
      <c r="I1118" s="90" t="s">
        <v>1111</v>
      </c>
      <c r="J1118" s="143">
        <v>0</v>
      </c>
      <c r="K1118" s="143"/>
      <c r="L1118" s="87">
        <v>0</v>
      </c>
      <c r="M1118" s="92" t="str">
        <f t="shared" si="36"/>
        <v/>
      </c>
      <c r="N1118" s="104">
        <v>0</v>
      </c>
      <c r="O1118" s="92" t="str">
        <f t="shared" si="37"/>
        <v/>
      </c>
      <c r="T1118" s="97"/>
    </row>
    <row r="1119" spans="1:20" ht="18" customHeight="1">
      <c r="A1119" s="103"/>
      <c r="B1119" s="104"/>
      <c r="C1119" s="104"/>
      <c r="D1119" s="104"/>
      <c r="E1119" s="92"/>
      <c r="F1119" s="104"/>
      <c r="G1119" s="92"/>
      <c r="H1119" s="90">
        <v>2150503</v>
      </c>
      <c r="I1119" s="90" t="s">
        <v>1112</v>
      </c>
      <c r="J1119" s="143">
        <v>0</v>
      </c>
      <c r="K1119" s="143"/>
      <c r="L1119" s="87">
        <v>0</v>
      </c>
      <c r="M1119" s="92" t="str">
        <f t="shared" si="36"/>
        <v/>
      </c>
      <c r="N1119" s="104">
        <v>0</v>
      </c>
      <c r="O1119" s="92" t="str">
        <f t="shared" si="37"/>
        <v/>
      </c>
      <c r="T1119" s="97"/>
    </row>
    <row r="1120" spans="1:20" ht="18" customHeight="1">
      <c r="A1120" s="103"/>
      <c r="B1120" s="104"/>
      <c r="C1120" s="104"/>
      <c r="D1120" s="104"/>
      <c r="E1120" s="92"/>
      <c r="F1120" s="104"/>
      <c r="G1120" s="92"/>
      <c r="H1120" s="90">
        <v>2150505</v>
      </c>
      <c r="I1120" s="90" t="s">
        <v>705</v>
      </c>
      <c r="J1120" s="143">
        <v>0</v>
      </c>
      <c r="K1120" s="143"/>
      <c r="L1120" s="87">
        <v>0</v>
      </c>
      <c r="M1120" s="92" t="str">
        <f t="shared" si="36"/>
        <v/>
      </c>
      <c r="N1120" s="104">
        <v>0</v>
      </c>
      <c r="O1120" s="92" t="str">
        <f t="shared" si="37"/>
        <v/>
      </c>
      <c r="T1120" s="97"/>
    </row>
    <row r="1121" spans="1:20" ht="18" customHeight="1">
      <c r="A1121" s="103"/>
      <c r="B1121" s="104"/>
      <c r="C1121" s="104"/>
      <c r="D1121" s="104"/>
      <c r="E1121" s="92"/>
      <c r="F1121" s="104"/>
      <c r="G1121" s="92"/>
      <c r="H1121" s="90">
        <v>2150506</v>
      </c>
      <c r="I1121" s="90" t="s">
        <v>706</v>
      </c>
      <c r="J1121" s="143">
        <v>0</v>
      </c>
      <c r="K1121" s="143"/>
      <c r="L1121" s="87">
        <v>0</v>
      </c>
      <c r="M1121" s="92" t="str">
        <f t="shared" si="36"/>
        <v/>
      </c>
      <c r="N1121" s="104">
        <v>0</v>
      </c>
      <c r="O1121" s="92" t="str">
        <f t="shared" si="37"/>
        <v/>
      </c>
      <c r="T1121" s="97"/>
    </row>
    <row r="1122" spans="1:20" ht="18" customHeight="1">
      <c r="A1122" s="103"/>
      <c r="B1122" s="104"/>
      <c r="C1122" s="104"/>
      <c r="D1122" s="104"/>
      <c r="E1122" s="92"/>
      <c r="F1122" s="104"/>
      <c r="G1122" s="92"/>
      <c r="H1122" s="90">
        <v>2150507</v>
      </c>
      <c r="I1122" s="90" t="s">
        <v>707</v>
      </c>
      <c r="J1122" s="143">
        <v>0</v>
      </c>
      <c r="K1122" s="143"/>
      <c r="L1122" s="87">
        <v>8</v>
      </c>
      <c r="M1122" s="92" t="str">
        <f t="shared" si="36"/>
        <v/>
      </c>
      <c r="N1122" s="104">
        <v>0</v>
      </c>
      <c r="O1122" s="92" t="str">
        <f t="shared" si="37"/>
        <v/>
      </c>
      <c r="T1122" s="97"/>
    </row>
    <row r="1123" spans="1:20" ht="18" customHeight="1">
      <c r="A1123" s="103"/>
      <c r="B1123" s="104"/>
      <c r="C1123" s="104"/>
      <c r="D1123" s="104"/>
      <c r="E1123" s="92"/>
      <c r="F1123" s="104"/>
      <c r="G1123" s="92"/>
      <c r="H1123" s="90">
        <v>2150508</v>
      </c>
      <c r="I1123" s="90" t="s">
        <v>708</v>
      </c>
      <c r="J1123" s="143">
        <v>1843</v>
      </c>
      <c r="K1123" s="143"/>
      <c r="L1123" s="87">
        <v>1862</v>
      </c>
      <c r="M1123" s="92" t="str">
        <f t="shared" si="36"/>
        <v/>
      </c>
      <c r="N1123" s="104">
        <v>1459</v>
      </c>
      <c r="O1123" s="92">
        <f t="shared" si="37"/>
        <v>0.27621658670322136</v>
      </c>
      <c r="T1123" s="97"/>
    </row>
    <row r="1124" spans="1:20" ht="18" customHeight="1">
      <c r="A1124" s="103"/>
      <c r="B1124" s="104"/>
      <c r="C1124" s="104"/>
      <c r="D1124" s="104"/>
      <c r="E1124" s="92"/>
      <c r="F1124" s="104"/>
      <c r="G1124" s="92"/>
      <c r="H1124" s="90">
        <v>2150509</v>
      </c>
      <c r="I1124" s="90" t="s">
        <v>709</v>
      </c>
      <c r="J1124" s="143">
        <v>0</v>
      </c>
      <c r="K1124" s="143"/>
      <c r="L1124" s="87">
        <v>0</v>
      </c>
      <c r="M1124" s="92" t="str">
        <f t="shared" si="36"/>
        <v/>
      </c>
      <c r="N1124" s="104">
        <v>0</v>
      </c>
      <c r="O1124" s="92" t="str">
        <f t="shared" si="37"/>
        <v/>
      </c>
      <c r="T1124" s="97"/>
    </row>
    <row r="1125" spans="1:20" ht="18" customHeight="1">
      <c r="A1125" s="103"/>
      <c r="B1125" s="104"/>
      <c r="C1125" s="104"/>
      <c r="D1125" s="104"/>
      <c r="E1125" s="92"/>
      <c r="F1125" s="104"/>
      <c r="G1125" s="92"/>
      <c r="H1125" s="90">
        <v>2150510</v>
      </c>
      <c r="I1125" s="90" t="s">
        <v>710</v>
      </c>
      <c r="J1125" s="143">
        <v>0</v>
      </c>
      <c r="K1125" s="143"/>
      <c r="L1125" s="87">
        <v>0</v>
      </c>
      <c r="M1125" s="92" t="str">
        <f t="shared" si="36"/>
        <v/>
      </c>
      <c r="N1125" s="104">
        <v>1200</v>
      </c>
      <c r="O1125" s="92">
        <f t="shared" si="37"/>
        <v>-1</v>
      </c>
      <c r="T1125" s="97"/>
    </row>
    <row r="1126" spans="1:20" ht="18" customHeight="1">
      <c r="A1126" s="103"/>
      <c r="B1126" s="104"/>
      <c r="C1126" s="104"/>
      <c r="D1126" s="104"/>
      <c r="E1126" s="92"/>
      <c r="F1126" s="104"/>
      <c r="G1126" s="92"/>
      <c r="H1126" s="90">
        <v>2150511</v>
      </c>
      <c r="I1126" s="90" t="s">
        <v>711</v>
      </c>
      <c r="J1126" s="143">
        <v>0</v>
      </c>
      <c r="K1126" s="143"/>
      <c r="L1126" s="87">
        <v>0</v>
      </c>
      <c r="M1126" s="92" t="str">
        <f t="shared" si="36"/>
        <v/>
      </c>
      <c r="N1126" s="104">
        <v>0</v>
      </c>
      <c r="O1126" s="92" t="str">
        <f t="shared" si="37"/>
        <v/>
      </c>
      <c r="T1126" s="97"/>
    </row>
    <row r="1127" spans="1:20" ht="18" customHeight="1">
      <c r="A1127" s="103"/>
      <c r="B1127" s="104"/>
      <c r="C1127" s="104"/>
      <c r="D1127" s="104"/>
      <c r="E1127" s="92"/>
      <c r="F1127" s="104"/>
      <c r="G1127" s="92"/>
      <c r="H1127" s="90">
        <v>2150513</v>
      </c>
      <c r="I1127" s="90" t="s">
        <v>670</v>
      </c>
      <c r="J1127" s="143">
        <v>0</v>
      </c>
      <c r="K1127" s="143"/>
      <c r="L1127" s="87">
        <v>0</v>
      </c>
      <c r="M1127" s="92" t="str">
        <f t="shared" si="36"/>
        <v/>
      </c>
      <c r="N1127" s="104">
        <v>0</v>
      </c>
      <c r="O1127" s="92" t="str">
        <f t="shared" si="37"/>
        <v/>
      </c>
      <c r="T1127" s="97"/>
    </row>
    <row r="1128" spans="1:20" ht="18" customHeight="1">
      <c r="A1128" s="103"/>
      <c r="B1128" s="104"/>
      <c r="C1128" s="104"/>
      <c r="D1128" s="104"/>
      <c r="E1128" s="92"/>
      <c r="F1128" s="104"/>
      <c r="G1128" s="92"/>
      <c r="H1128" s="90">
        <v>2150514</v>
      </c>
      <c r="I1128" s="90" t="s">
        <v>712</v>
      </c>
      <c r="J1128" s="143">
        <v>0</v>
      </c>
      <c r="K1128" s="143"/>
      <c r="L1128" s="87">
        <v>0</v>
      </c>
      <c r="M1128" s="92" t="str">
        <f t="shared" si="36"/>
        <v/>
      </c>
      <c r="N1128" s="104">
        <v>0</v>
      </c>
      <c r="O1128" s="92" t="str">
        <f t="shared" si="37"/>
        <v/>
      </c>
      <c r="T1128" s="97"/>
    </row>
    <row r="1129" spans="1:20" ht="18" customHeight="1">
      <c r="A1129" s="103"/>
      <c r="B1129" s="104"/>
      <c r="C1129" s="104"/>
      <c r="D1129" s="104"/>
      <c r="E1129" s="92"/>
      <c r="F1129" s="104"/>
      <c r="G1129" s="92"/>
      <c r="H1129" s="90">
        <v>2150515</v>
      </c>
      <c r="I1129" s="90" t="s">
        <v>713</v>
      </c>
      <c r="J1129" s="143"/>
      <c r="K1129" s="143"/>
      <c r="L1129" s="87"/>
      <c r="M1129" s="92" t="str">
        <f t="shared" si="36"/>
        <v/>
      </c>
      <c r="N1129" s="104">
        <v>0</v>
      </c>
      <c r="O1129" s="92" t="str">
        <f t="shared" si="37"/>
        <v/>
      </c>
      <c r="T1129" s="97"/>
    </row>
    <row r="1130" spans="1:20" ht="18" customHeight="1">
      <c r="A1130" s="103"/>
      <c r="B1130" s="104"/>
      <c r="C1130" s="104"/>
      <c r="D1130" s="104"/>
      <c r="E1130" s="92"/>
      <c r="F1130" s="104"/>
      <c r="G1130" s="92"/>
      <c r="H1130" s="90">
        <v>2150599</v>
      </c>
      <c r="I1130" s="90" t="s">
        <v>714</v>
      </c>
      <c r="J1130" s="143">
        <v>81248</v>
      </c>
      <c r="K1130" s="143"/>
      <c r="L1130" s="87">
        <v>37122</v>
      </c>
      <c r="M1130" s="92" t="str">
        <f t="shared" si="36"/>
        <v/>
      </c>
      <c r="N1130" s="104">
        <v>729</v>
      </c>
      <c r="O1130" s="92">
        <f t="shared" si="37"/>
        <v>49.921810699588477</v>
      </c>
      <c r="T1130" s="97"/>
    </row>
    <row r="1131" spans="1:20" ht="18" customHeight="1">
      <c r="A1131" s="103"/>
      <c r="B1131" s="104"/>
      <c r="C1131" s="104"/>
      <c r="D1131" s="104"/>
      <c r="E1131" s="92"/>
      <c r="F1131" s="104"/>
      <c r="G1131" s="92"/>
      <c r="H1131" s="90">
        <v>21506</v>
      </c>
      <c r="I1131" s="80" t="s">
        <v>715</v>
      </c>
      <c r="J1131" s="143">
        <v>4118</v>
      </c>
      <c r="K1131" s="647">
        <v>27821</v>
      </c>
      <c r="L1131" s="87">
        <v>27821</v>
      </c>
      <c r="M1131" s="92">
        <f t="shared" si="36"/>
        <v>1</v>
      </c>
      <c r="N1131" s="104">
        <v>858</v>
      </c>
      <c r="O1131" s="92">
        <f t="shared" si="37"/>
        <v>31.425407925407924</v>
      </c>
      <c r="T1131" s="97"/>
    </row>
    <row r="1132" spans="1:20" ht="18" customHeight="1">
      <c r="A1132" s="103"/>
      <c r="B1132" s="104"/>
      <c r="C1132" s="104"/>
      <c r="D1132" s="104"/>
      <c r="E1132" s="92"/>
      <c r="F1132" s="104"/>
      <c r="G1132" s="92"/>
      <c r="H1132" s="90">
        <v>2150601</v>
      </c>
      <c r="I1132" s="90" t="s">
        <v>1110</v>
      </c>
      <c r="J1132" s="143">
        <v>0</v>
      </c>
      <c r="K1132" s="143"/>
      <c r="L1132" s="87">
        <v>0</v>
      </c>
      <c r="M1132" s="92" t="str">
        <f t="shared" si="36"/>
        <v/>
      </c>
      <c r="N1132" s="104">
        <v>0</v>
      </c>
      <c r="O1132" s="92" t="str">
        <f t="shared" si="37"/>
        <v/>
      </c>
      <c r="T1132" s="97"/>
    </row>
    <row r="1133" spans="1:20" ht="18" customHeight="1">
      <c r="A1133" s="103"/>
      <c r="B1133" s="104"/>
      <c r="C1133" s="104"/>
      <c r="D1133" s="104"/>
      <c r="E1133" s="92"/>
      <c r="F1133" s="104"/>
      <c r="G1133" s="92"/>
      <c r="H1133" s="90">
        <v>2150602</v>
      </c>
      <c r="I1133" s="90" t="s">
        <v>1111</v>
      </c>
      <c r="J1133" s="143">
        <v>0</v>
      </c>
      <c r="K1133" s="143"/>
      <c r="L1133" s="87">
        <v>0</v>
      </c>
      <c r="M1133" s="92" t="str">
        <f t="shared" si="36"/>
        <v/>
      </c>
      <c r="N1133" s="104">
        <v>0</v>
      </c>
      <c r="O1133" s="92" t="str">
        <f t="shared" si="37"/>
        <v/>
      </c>
      <c r="T1133" s="97"/>
    </row>
    <row r="1134" spans="1:20" ht="18" customHeight="1">
      <c r="A1134" s="103"/>
      <c r="B1134" s="104"/>
      <c r="C1134" s="104"/>
      <c r="D1134" s="104"/>
      <c r="E1134" s="92"/>
      <c r="F1134" s="104"/>
      <c r="G1134" s="92"/>
      <c r="H1134" s="90">
        <v>2150603</v>
      </c>
      <c r="I1134" s="90" t="s">
        <v>1112</v>
      </c>
      <c r="J1134" s="143">
        <v>0</v>
      </c>
      <c r="K1134" s="143"/>
      <c r="L1134" s="87">
        <v>0</v>
      </c>
      <c r="M1134" s="92" t="str">
        <f t="shared" si="36"/>
        <v/>
      </c>
      <c r="N1134" s="104">
        <v>0</v>
      </c>
      <c r="O1134" s="92" t="str">
        <f t="shared" si="37"/>
        <v/>
      </c>
      <c r="T1134" s="97"/>
    </row>
    <row r="1135" spans="1:20" ht="18" customHeight="1">
      <c r="A1135" s="103"/>
      <c r="B1135" s="104"/>
      <c r="C1135" s="104"/>
      <c r="D1135" s="104"/>
      <c r="E1135" s="92"/>
      <c r="F1135" s="104"/>
      <c r="G1135" s="92"/>
      <c r="H1135" s="90">
        <v>2150604</v>
      </c>
      <c r="I1135" s="90" t="s">
        <v>716</v>
      </c>
      <c r="J1135" s="143">
        <v>0</v>
      </c>
      <c r="K1135" s="143"/>
      <c r="L1135" s="87">
        <v>0</v>
      </c>
      <c r="M1135" s="92" t="str">
        <f t="shared" si="36"/>
        <v/>
      </c>
      <c r="N1135" s="104">
        <v>0</v>
      </c>
      <c r="O1135" s="92" t="str">
        <f t="shared" si="37"/>
        <v/>
      </c>
      <c r="T1135" s="97"/>
    </row>
    <row r="1136" spans="1:20" ht="18" customHeight="1">
      <c r="A1136" s="103"/>
      <c r="B1136" s="104"/>
      <c r="C1136" s="104"/>
      <c r="D1136" s="104"/>
      <c r="E1136" s="92"/>
      <c r="F1136" s="104"/>
      <c r="G1136" s="92"/>
      <c r="H1136" s="90">
        <v>2150605</v>
      </c>
      <c r="I1136" s="90" t="s">
        <v>717</v>
      </c>
      <c r="J1136" s="143">
        <v>0</v>
      </c>
      <c r="K1136" s="143"/>
      <c r="L1136" s="87">
        <v>0</v>
      </c>
      <c r="M1136" s="92" t="str">
        <f t="shared" si="36"/>
        <v/>
      </c>
      <c r="N1136" s="104">
        <v>0</v>
      </c>
      <c r="O1136" s="92" t="str">
        <f t="shared" si="37"/>
        <v/>
      </c>
      <c r="T1136" s="97"/>
    </row>
    <row r="1137" spans="1:20" ht="18" customHeight="1">
      <c r="A1137" s="103"/>
      <c r="B1137" s="104"/>
      <c r="C1137" s="104"/>
      <c r="D1137" s="104"/>
      <c r="E1137" s="92"/>
      <c r="F1137" s="104"/>
      <c r="G1137" s="92"/>
      <c r="H1137" s="90">
        <v>2150606</v>
      </c>
      <c r="I1137" s="90" t="s">
        <v>718</v>
      </c>
      <c r="J1137" s="143">
        <v>0</v>
      </c>
      <c r="K1137" s="143"/>
      <c r="L1137" s="87">
        <v>431</v>
      </c>
      <c r="M1137" s="92" t="str">
        <f t="shared" si="36"/>
        <v/>
      </c>
      <c r="N1137" s="104">
        <v>0</v>
      </c>
      <c r="O1137" s="92" t="str">
        <f t="shared" si="37"/>
        <v/>
      </c>
      <c r="T1137" s="97"/>
    </row>
    <row r="1138" spans="1:20" ht="18" customHeight="1">
      <c r="A1138" s="103"/>
      <c r="B1138" s="104"/>
      <c r="C1138" s="104"/>
      <c r="D1138" s="104"/>
      <c r="E1138" s="92"/>
      <c r="F1138" s="104"/>
      <c r="G1138" s="92"/>
      <c r="H1138" s="90">
        <v>2150607</v>
      </c>
      <c r="I1138" s="90" t="s">
        <v>719</v>
      </c>
      <c r="J1138" s="143"/>
      <c r="K1138" s="143"/>
      <c r="L1138" s="87">
        <v>0</v>
      </c>
      <c r="M1138" s="92" t="str">
        <f t="shared" si="36"/>
        <v/>
      </c>
      <c r="N1138" s="104">
        <v>0</v>
      </c>
      <c r="O1138" s="92" t="str">
        <f t="shared" si="37"/>
        <v/>
      </c>
      <c r="T1138" s="97"/>
    </row>
    <row r="1139" spans="1:20" ht="18" customHeight="1">
      <c r="A1139" s="103"/>
      <c r="B1139" s="104"/>
      <c r="C1139" s="104"/>
      <c r="D1139" s="104"/>
      <c r="E1139" s="92"/>
      <c r="F1139" s="104"/>
      <c r="G1139" s="92"/>
      <c r="H1139" s="90">
        <v>2150699</v>
      </c>
      <c r="I1139" s="90" t="s">
        <v>720</v>
      </c>
      <c r="J1139" s="143">
        <v>4118</v>
      </c>
      <c r="K1139" s="143"/>
      <c r="L1139" s="87">
        <v>27390</v>
      </c>
      <c r="M1139" s="92" t="str">
        <f t="shared" si="36"/>
        <v/>
      </c>
      <c r="N1139" s="104">
        <v>858</v>
      </c>
      <c r="O1139" s="92">
        <f t="shared" si="37"/>
        <v>30.923076923076923</v>
      </c>
      <c r="T1139" s="97"/>
    </row>
    <row r="1140" spans="1:20" ht="18" customHeight="1">
      <c r="A1140" s="103"/>
      <c r="B1140" s="104"/>
      <c r="C1140" s="104"/>
      <c r="D1140" s="104"/>
      <c r="E1140" s="92"/>
      <c r="F1140" s="104"/>
      <c r="G1140" s="92"/>
      <c r="H1140" s="90">
        <v>21507</v>
      </c>
      <c r="I1140" s="80" t="s">
        <v>721</v>
      </c>
      <c r="J1140" s="143">
        <v>4943</v>
      </c>
      <c r="K1140" s="647">
        <v>3799</v>
      </c>
      <c r="L1140" s="87">
        <v>3799</v>
      </c>
      <c r="M1140" s="92">
        <f t="shared" si="36"/>
        <v>1</v>
      </c>
      <c r="N1140" s="104">
        <v>2961</v>
      </c>
      <c r="O1140" s="92">
        <f t="shared" si="37"/>
        <v>0.28301249577845322</v>
      </c>
      <c r="T1140" s="97"/>
    </row>
    <row r="1141" spans="1:20" ht="18" customHeight="1">
      <c r="A1141" s="103"/>
      <c r="B1141" s="104"/>
      <c r="C1141" s="104"/>
      <c r="D1141" s="104"/>
      <c r="E1141" s="92"/>
      <c r="F1141" s="104"/>
      <c r="G1141" s="92"/>
      <c r="H1141" s="90">
        <v>2150701</v>
      </c>
      <c r="I1141" s="90" t="s">
        <v>1110</v>
      </c>
      <c r="J1141" s="143">
        <v>2142</v>
      </c>
      <c r="K1141" s="143"/>
      <c r="L1141" s="87">
        <v>2370</v>
      </c>
      <c r="M1141" s="92" t="str">
        <f t="shared" si="36"/>
        <v/>
      </c>
      <c r="N1141" s="104">
        <v>2052</v>
      </c>
      <c r="O1141" s="92">
        <f t="shared" si="37"/>
        <v>0.15497076023391809</v>
      </c>
      <c r="T1141" s="97"/>
    </row>
    <row r="1142" spans="1:20" ht="18" customHeight="1">
      <c r="A1142" s="103"/>
      <c r="B1142" s="104"/>
      <c r="C1142" s="104"/>
      <c r="D1142" s="104"/>
      <c r="E1142" s="92"/>
      <c r="F1142" s="104"/>
      <c r="G1142" s="92"/>
      <c r="H1142" s="90">
        <v>2150702</v>
      </c>
      <c r="I1142" s="90" t="s">
        <v>1111</v>
      </c>
      <c r="J1142" s="143">
        <v>367</v>
      </c>
      <c r="K1142" s="143"/>
      <c r="L1142" s="87">
        <v>529</v>
      </c>
      <c r="M1142" s="92" t="str">
        <f t="shared" si="36"/>
        <v/>
      </c>
      <c r="N1142" s="104">
        <v>509</v>
      </c>
      <c r="O1142" s="92">
        <f t="shared" si="37"/>
        <v>3.9292730844793677E-2</v>
      </c>
      <c r="T1142" s="97"/>
    </row>
    <row r="1143" spans="1:20" ht="18" customHeight="1">
      <c r="A1143" s="103"/>
      <c r="B1143" s="104"/>
      <c r="C1143" s="104"/>
      <c r="D1143" s="104"/>
      <c r="E1143" s="92"/>
      <c r="F1143" s="104"/>
      <c r="G1143" s="92"/>
      <c r="H1143" s="90">
        <v>2150703</v>
      </c>
      <c r="I1143" s="90" t="s">
        <v>1112</v>
      </c>
      <c r="J1143" s="143">
        <v>0</v>
      </c>
      <c r="K1143" s="143"/>
      <c r="L1143" s="87">
        <v>0</v>
      </c>
      <c r="M1143" s="92" t="str">
        <f t="shared" si="36"/>
        <v/>
      </c>
      <c r="N1143" s="104">
        <v>0</v>
      </c>
      <c r="O1143" s="92" t="str">
        <f t="shared" si="37"/>
        <v/>
      </c>
      <c r="T1143" s="97"/>
    </row>
    <row r="1144" spans="1:20" ht="18" customHeight="1">
      <c r="A1144" s="103"/>
      <c r="B1144" s="104"/>
      <c r="C1144" s="104"/>
      <c r="D1144" s="104"/>
      <c r="E1144" s="92"/>
      <c r="F1144" s="104"/>
      <c r="G1144" s="92"/>
      <c r="H1144" s="90">
        <v>2150704</v>
      </c>
      <c r="I1144" s="90" t="s">
        <v>722</v>
      </c>
      <c r="J1144" s="143">
        <v>0</v>
      </c>
      <c r="K1144" s="143"/>
      <c r="L1144" s="87">
        <v>0</v>
      </c>
      <c r="M1144" s="92" t="str">
        <f t="shared" si="36"/>
        <v/>
      </c>
      <c r="N1144" s="104">
        <v>0</v>
      </c>
      <c r="O1144" s="92" t="str">
        <f t="shared" si="37"/>
        <v/>
      </c>
      <c r="T1144" s="97"/>
    </row>
    <row r="1145" spans="1:20" ht="18" customHeight="1">
      <c r="A1145" s="103"/>
      <c r="B1145" s="104"/>
      <c r="C1145" s="104"/>
      <c r="D1145" s="104"/>
      <c r="E1145" s="92"/>
      <c r="F1145" s="104"/>
      <c r="G1145" s="92"/>
      <c r="H1145" s="90">
        <v>2150705</v>
      </c>
      <c r="I1145" s="90" t="s">
        <v>723</v>
      </c>
      <c r="J1145" s="143"/>
      <c r="K1145" s="143"/>
      <c r="L1145" s="87">
        <v>0</v>
      </c>
      <c r="M1145" s="92" t="str">
        <f t="shared" si="36"/>
        <v/>
      </c>
      <c r="N1145" s="104">
        <v>0</v>
      </c>
      <c r="O1145" s="92" t="str">
        <f t="shared" si="37"/>
        <v/>
      </c>
      <c r="T1145" s="97"/>
    </row>
    <row r="1146" spans="1:20" ht="18" customHeight="1">
      <c r="A1146" s="103"/>
      <c r="B1146" s="104"/>
      <c r="C1146" s="104"/>
      <c r="D1146" s="104"/>
      <c r="E1146" s="92"/>
      <c r="F1146" s="104"/>
      <c r="G1146" s="92"/>
      <c r="H1146" s="90">
        <v>2150799</v>
      </c>
      <c r="I1146" s="90" t="s">
        <v>724</v>
      </c>
      <c r="J1146" s="143">
        <v>2434</v>
      </c>
      <c r="K1146" s="143"/>
      <c r="L1146" s="87">
        <v>900</v>
      </c>
      <c r="M1146" s="92" t="str">
        <f t="shared" si="36"/>
        <v/>
      </c>
      <c r="N1146" s="104">
        <v>400</v>
      </c>
      <c r="O1146" s="92">
        <f t="shared" si="37"/>
        <v>1.25</v>
      </c>
      <c r="T1146" s="97"/>
    </row>
    <row r="1147" spans="1:20" ht="18" customHeight="1">
      <c r="A1147" s="103"/>
      <c r="B1147" s="104"/>
      <c r="C1147" s="104"/>
      <c r="D1147" s="104"/>
      <c r="E1147" s="92"/>
      <c r="F1147" s="104"/>
      <c r="G1147" s="92"/>
      <c r="H1147" s="90">
        <v>21508</v>
      </c>
      <c r="I1147" s="80" t="s">
        <v>725</v>
      </c>
      <c r="J1147" s="143">
        <v>42687</v>
      </c>
      <c r="K1147" s="647">
        <v>202418</v>
      </c>
      <c r="L1147" s="87">
        <v>197266</v>
      </c>
      <c r="M1147" s="92">
        <f t="shared" si="36"/>
        <v>0.97454771808831231</v>
      </c>
      <c r="N1147" s="104">
        <v>25196</v>
      </c>
      <c r="O1147" s="92">
        <f t="shared" si="37"/>
        <v>6.8292586124781716</v>
      </c>
      <c r="T1147" s="97"/>
    </row>
    <row r="1148" spans="1:20" ht="18" customHeight="1">
      <c r="A1148" s="103"/>
      <c r="B1148" s="104"/>
      <c r="C1148" s="104"/>
      <c r="D1148" s="104"/>
      <c r="E1148" s="92"/>
      <c r="F1148" s="104"/>
      <c r="G1148" s="92"/>
      <c r="H1148" s="90">
        <v>2150801</v>
      </c>
      <c r="I1148" s="90" t="s">
        <v>1110</v>
      </c>
      <c r="J1148" s="143">
        <v>583</v>
      </c>
      <c r="K1148" s="143"/>
      <c r="L1148" s="87">
        <v>730</v>
      </c>
      <c r="M1148" s="92" t="str">
        <f t="shared" si="36"/>
        <v/>
      </c>
      <c r="N1148" s="104">
        <v>572</v>
      </c>
      <c r="O1148" s="92">
        <f t="shared" si="37"/>
        <v>0.27622377622377625</v>
      </c>
      <c r="T1148" s="97"/>
    </row>
    <row r="1149" spans="1:20" ht="18" customHeight="1">
      <c r="A1149" s="103"/>
      <c r="B1149" s="104"/>
      <c r="C1149" s="104"/>
      <c r="D1149" s="104"/>
      <c r="E1149" s="92"/>
      <c r="F1149" s="104"/>
      <c r="G1149" s="92"/>
      <c r="H1149" s="90">
        <v>2150802</v>
      </c>
      <c r="I1149" s="90" t="s">
        <v>1111</v>
      </c>
      <c r="J1149" s="143">
        <v>0</v>
      </c>
      <c r="K1149" s="143"/>
      <c r="L1149" s="87">
        <v>0</v>
      </c>
      <c r="M1149" s="92" t="str">
        <f t="shared" si="36"/>
        <v/>
      </c>
      <c r="N1149" s="104">
        <v>0</v>
      </c>
      <c r="O1149" s="92" t="str">
        <f t="shared" si="37"/>
        <v/>
      </c>
      <c r="T1149" s="97"/>
    </row>
    <row r="1150" spans="1:20" ht="18" customHeight="1">
      <c r="A1150" s="103"/>
      <c r="B1150" s="104"/>
      <c r="C1150" s="104"/>
      <c r="D1150" s="104"/>
      <c r="E1150" s="92"/>
      <c r="F1150" s="104"/>
      <c r="G1150" s="92"/>
      <c r="H1150" s="90">
        <v>2150803</v>
      </c>
      <c r="I1150" s="90" t="s">
        <v>1112</v>
      </c>
      <c r="J1150" s="143">
        <v>0</v>
      </c>
      <c r="K1150" s="143"/>
      <c r="L1150" s="87">
        <v>0</v>
      </c>
      <c r="M1150" s="92" t="str">
        <f t="shared" si="36"/>
        <v/>
      </c>
      <c r="N1150" s="104">
        <v>0</v>
      </c>
      <c r="O1150" s="92" t="str">
        <f t="shared" si="37"/>
        <v/>
      </c>
      <c r="T1150" s="97"/>
    </row>
    <row r="1151" spans="1:20" ht="18" customHeight="1">
      <c r="A1151" s="103"/>
      <c r="B1151" s="104"/>
      <c r="C1151" s="104"/>
      <c r="D1151" s="104"/>
      <c r="E1151" s="92"/>
      <c r="F1151" s="104"/>
      <c r="G1151" s="92"/>
      <c r="H1151" s="90">
        <v>2150804</v>
      </c>
      <c r="I1151" s="90" t="s">
        <v>726</v>
      </c>
      <c r="J1151" s="143">
        <v>0</v>
      </c>
      <c r="K1151" s="143"/>
      <c r="L1151" s="87">
        <v>0</v>
      </c>
      <c r="M1151" s="92" t="str">
        <f t="shared" si="36"/>
        <v/>
      </c>
      <c r="N1151" s="104">
        <v>0</v>
      </c>
      <c r="O1151" s="92" t="str">
        <f t="shared" si="37"/>
        <v/>
      </c>
      <c r="T1151" s="97"/>
    </row>
    <row r="1152" spans="1:20" ht="18" customHeight="1">
      <c r="A1152" s="103"/>
      <c r="B1152" s="104"/>
      <c r="C1152" s="104"/>
      <c r="D1152" s="104"/>
      <c r="E1152" s="92"/>
      <c r="F1152" s="104"/>
      <c r="G1152" s="92"/>
      <c r="H1152" s="90">
        <v>2150805</v>
      </c>
      <c r="I1152" s="90" t="s">
        <v>727</v>
      </c>
      <c r="J1152" s="143">
        <v>26634</v>
      </c>
      <c r="K1152" s="143"/>
      <c r="L1152" s="87">
        <v>12183</v>
      </c>
      <c r="M1152" s="92" t="str">
        <f t="shared" si="36"/>
        <v/>
      </c>
      <c r="N1152" s="104">
        <v>7472</v>
      </c>
      <c r="O1152" s="92">
        <f t="shared" si="37"/>
        <v>0.6304871520342612</v>
      </c>
      <c r="T1152" s="97"/>
    </row>
    <row r="1153" spans="1:21" ht="18" customHeight="1">
      <c r="A1153" s="103"/>
      <c r="B1153" s="104"/>
      <c r="C1153" s="104"/>
      <c r="D1153" s="104"/>
      <c r="E1153" s="92"/>
      <c r="F1153" s="104"/>
      <c r="G1153" s="92"/>
      <c r="H1153" s="90">
        <v>2150899</v>
      </c>
      <c r="I1153" s="90" t="s">
        <v>728</v>
      </c>
      <c r="J1153" s="143">
        <v>15470</v>
      </c>
      <c r="K1153" s="143"/>
      <c r="L1153" s="87">
        <v>184353</v>
      </c>
      <c r="M1153" s="92" t="str">
        <f t="shared" si="36"/>
        <v/>
      </c>
      <c r="N1153" s="104">
        <v>17152</v>
      </c>
      <c r="O1153" s="92">
        <f t="shared" si="37"/>
        <v>9.7481926305970141</v>
      </c>
      <c r="T1153" s="97"/>
    </row>
    <row r="1154" spans="1:21" ht="18" customHeight="1">
      <c r="A1154" s="103"/>
      <c r="B1154" s="104"/>
      <c r="C1154" s="104"/>
      <c r="D1154" s="104"/>
      <c r="E1154" s="92"/>
      <c r="F1154" s="104"/>
      <c r="G1154" s="92"/>
      <c r="H1154" s="90">
        <v>21599</v>
      </c>
      <c r="I1154" s="80" t="s">
        <v>729</v>
      </c>
      <c r="J1154" s="108">
        <f>-1000000+1443219</f>
        <v>443219</v>
      </c>
      <c r="K1154" s="647">
        <v>700072</v>
      </c>
      <c r="L1154" s="87">
        <v>642067</v>
      </c>
      <c r="M1154" s="92">
        <f t="shared" si="36"/>
        <v>0.91714423659280764</v>
      </c>
      <c r="N1154" s="104">
        <v>724123</v>
      </c>
      <c r="O1154" s="92">
        <f t="shared" si="37"/>
        <v>-0.11331776507582281</v>
      </c>
      <c r="T1154" s="97"/>
    </row>
    <row r="1155" spans="1:21" ht="18" customHeight="1">
      <c r="A1155" s="103"/>
      <c r="B1155" s="104"/>
      <c r="C1155" s="104"/>
      <c r="D1155" s="104"/>
      <c r="E1155" s="92"/>
      <c r="F1155" s="104"/>
      <c r="G1155" s="92"/>
      <c r="H1155" s="90">
        <v>2159901</v>
      </c>
      <c r="I1155" s="90" t="s">
        <v>730</v>
      </c>
      <c r="J1155" s="143">
        <v>0</v>
      </c>
      <c r="K1155" s="143"/>
      <c r="L1155" s="87">
        <v>0</v>
      </c>
      <c r="M1155" s="92" t="str">
        <f t="shared" si="36"/>
        <v/>
      </c>
      <c r="N1155" s="104">
        <v>0</v>
      </c>
      <c r="O1155" s="92" t="str">
        <f t="shared" si="37"/>
        <v/>
      </c>
      <c r="T1155" s="97"/>
    </row>
    <row r="1156" spans="1:21" ht="18" customHeight="1">
      <c r="A1156" s="103"/>
      <c r="B1156" s="104"/>
      <c r="C1156" s="104"/>
      <c r="D1156" s="104"/>
      <c r="E1156" s="92"/>
      <c r="F1156" s="104"/>
      <c r="G1156" s="92"/>
      <c r="H1156" s="90">
        <v>2159902</v>
      </c>
      <c r="I1156" s="90" t="s">
        <v>731</v>
      </c>
      <c r="J1156" s="143">
        <v>32</v>
      </c>
      <c r="K1156" s="143"/>
      <c r="L1156" s="87">
        <v>0</v>
      </c>
      <c r="M1156" s="92" t="str">
        <f t="shared" si="36"/>
        <v/>
      </c>
      <c r="N1156" s="104">
        <v>0</v>
      </c>
      <c r="O1156" s="92" t="str">
        <f t="shared" si="37"/>
        <v/>
      </c>
      <c r="T1156" s="97"/>
    </row>
    <row r="1157" spans="1:21" ht="18" customHeight="1">
      <c r="A1157" s="103"/>
      <c r="B1157" s="104"/>
      <c r="C1157" s="104"/>
      <c r="D1157" s="104"/>
      <c r="E1157" s="92"/>
      <c r="F1157" s="104"/>
      <c r="G1157" s="92"/>
      <c r="H1157" s="90">
        <v>2159904</v>
      </c>
      <c r="I1157" s="90" t="s">
        <v>732</v>
      </c>
      <c r="J1157" s="143">
        <v>1712</v>
      </c>
      <c r="K1157" s="143"/>
      <c r="L1157" s="87">
        <v>0</v>
      </c>
      <c r="M1157" s="92" t="str">
        <f t="shared" si="36"/>
        <v/>
      </c>
      <c r="N1157" s="104">
        <v>4100</v>
      </c>
      <c r="O1157" s="92">
        <f t="shared" si="37"/>
        <v>-1</v>
      </c>
      <c r="T1157" s="97"/>
    </row>
    <row r="1158" spans="1:21" ht="18" customHeight="1">
      <c r="A1158" s="103"/>
      <c r="B1158" s="104"/>
      <c r="C1158" s="104"/>
      <c r="D1158" s="104"/>
      <c r="E1158" s="92"/>
      <c r="F1158" s="104"/>
      <c r="G1158" s="92"/>
      <c r="H1158" s="90">
        <v>2159905</v>
      </c>
      <c r="I1158" s="90" t="s">
        <v>733</v>
      </c>
      <c r="J1158" s="143">
        <v>0</v>
      </c>
      <c r="K1158" s="143"/>
      <c r="L1158" s="87">
        <v>0</v>
      </c>
      <c r="M1158" s="92" t="str">
        <f t="shared" ref="M1158:M1221" si="38">+IF(ISERROR(L1158/K1158),"",L1158/K1158)</f>
        <v/>
      </c>
      <c r="N1158" s="104">
        <v>0</v>
      </c>
      <c r="O1158" s="92" t="str">
        <f t="shared" si="37"/>
        <v/>
      </c>
      <c r="T1158" s="97"/>
    </row>
    <row r="1159" spans="1:21" ht="18" customHeight="1">
      <c r="A1159" s="103"/>
      <c r="B1159" s="104"/>
      <c r="C1159" s="104"/>
      <c r="D1159" s="104"/>
      <c r="E1159" s="92"/>
      <c r="F1159" s="104"/>
      <c r="G1159" s="92"/>
      <c r="H1159" s="90">
        <v>2159906</v>
      </c>
      <c r="I1159" s="90" t="s">
        <v>734</v>
      </c>
      <c r="J1159" s="143">
        <v>0</v>
      </c>
      <c r="K1159" s="143"/>
      <c r="L1159" s="87">
        <v>0</v>
      </c>
      <c r="M1159" s="92" t="str">
        <f t="shared" si="38"/>
        <v/>
      </c>
      <c r="N1159" s="104">
        <v>0</v>
      </c>
      <c r="O1159" s="92" t="str">
        <f t="shared" ref="O1159:O1222" si="39">IF(ISERROR(L1159/N1159-1),"",(L1159/N1159-1))</f>
        <v/>
      </c>
      <c r="T1159" s="97"/>
    </row>
    <row r="1160" spans="1:21" ht="18" customHeight="1">
      <c r="A1160" s="103"/>
      <c r="B1160" s="104"/>
      <c r="C1160" s="104"/>
      <c r="D1160" s="104"/>
      <c r="E1160" s="92"/>
      <c r="F1160" s="104"/>
      <c r="G1160" s="92"/>
      <c r="H1160" s="90">
        <v>2159999</v>
      </c>
      <c r="I1160" s="90" t="s">
        <v>735</v>
      </c>
      <c r="J1160" s="143">
        <f>-1000000+1441475</f>
        <v>441475</v>
      </c>
      <c r="K1160" s="143"/>
      <c r="L1160" s="87">
        <v>642067</v>
      </c>
      <c r="M1160" s="92" t="str">
        <f t="shared" si="38"/>
        <v/>
      </c>
      <c r="N1160" s="104">
        <v>720023</v>
      </c>
      <c r="O1160" s="92">
        <f t="shared" si="39"/>
        <v>-0.10826876363671711</v>
      </c>
      <c r="T1160" s="97"/>
    </row>
    <row r="1161" spans="1:21" s="112" customFormat="1" ht="18" customHeight="1">
      <c r="A1161" s="111"/>
      <c r="B1161" s="109"/>
      <c r="C1161" s="109"/>
      <c r="D1161" s="109"/>
      <c r="E1161" s="82"/>
      <c r="F1161" s="109"/>
      <c r="G1161" s="82"/>
      <c r="H1161" s="80">
        <v>216</v>
      </c>
      <c r="I1161" s="80" t="s">
        <v>736</v>
      </c>
      <c r="J1161" s="110">
        <f>-500000+1119704</f>
        <v>619704</v>
      </c>
      <c r="K1161" s="656">
        <v>360829</v>
      </c>
      <c r="L1161" s="77">
        <v>322395</v>
      </c>
      <c r="M1161" s="82">
        <f t="shared" si="38"/>
        <v>0.89348417117249446</v>
      </c>
      <c r="N1161" s="109">
        <v>228234</v>
      </c>
      <c r="O1161" s="82">
        <f t="shared" si="39"/>
        <v>0.41256342175136052</v>
      </c>
      <c r="P1161" s="84"/>
      <c r="T1161" s="96"/>
    </row>
    <row r="1162" spans="1:21" ht="18" customHeight="1">
      <c r="A1162" s="103"/>
      <c r="B1162" s="104"/>
      <c r="C1162" s="104"/>
      <c r="D1162" s="104"/>
      <c r="E1162" s="92"/>
      <c r="F1162" s="104"/>
      <c r="G1162" s="92"/>
      <c r="H1162" s="90">
        <v>21602</v>
      </c>
      <c r="I1162" s="80" t="s">
        <v>737</v>
      </c>
      <c r="J1162" s="143">
        <v>54142</v>
      </c>
      <c r="K1162" s="647">
        <v>28757</v>
      </c>
      <c r="L1162" s="87">
        <v>26554</v>
      </c>
      <c r="M1162" s="92">
        <f t="shared" si="38"/>
        <v>0.92339256528845148</v>
      </c>
      <c r="N1162" s="104">
        <v>4783</v>
      </c>
      <c r="O1162" s="92">
        <f t="shared" si="39"/>
        <v>4.5517457662554879</v>
      </c>
      <c r="T1162" s="96" t="s">
        <v>1078</v>
      </c>
      <c r="U1162" s="63">
        <v>173639</v>
      </c>
    </row>
    <row r="1163" spans="1:21" ht="18" customHeight="1">
      <c r="A1163" s="103"/>
      <c r="B1163" s="104"/>
      <c r="C1163" s="104"/>
      <c r="D1163" s="104"/>
      <c r="E1163" s="92"/>
      <c r="F1163" s="104"/>
      <c r="G1163" s="92"/>
      <c r="H1163" s="90">
        <v>2160201</v>
      </c>
      <c r="I1163" s="90" t="s">
        <v>1110</v>
      </c>
      <c r="J1163" s="143">
        <v>0</v>
      </c>
      <c r="K1163" s="143"/>
      <c r="L1163" s="87">
        <v>0</v>
      </c>
      <c r="M1163" s="92" t="str">
        <f t="shared" si="38"/>
        <v/>
      </c>
      <c r="N1163" s="104">
        <v>0</v>
      </c>
      <c r="O1163" s="92" t="str">
        <f t="shared" si="39"/>
        <v/>
      </c>
      <c r="T1163" s="97" t="s">
        <v>737</v>
      </c>
      <c r="U1163" s="63">
        <v>2484</v>
      </c>
    </row>
    <row r="1164" spans="1:21" ht="18" customHeight="1">
      <c r="A1164" s="103"/>
      <c r="B1164" s="104"/>
      <c r="C1164" s="104"/>
      <c r="D1164" s="104"/>
      <c r="E1164" s="92"/>
      <c r="F1164" s="104"/>
      <c r="G1164" s="92"/>
      <c r="H1164" s="90">
        <v>2160202</v>
      </c>
      <c r="I1164" s="90" t="s">
        <v>1111</v>
      </c>
      <c r="J1164" s="143">
        <v>0</v>
      </c>
      <c r="K1164" s="143"/>
      <c r="L1164" s="87">
        <v>0</v>
      </c>
      <c r="M1164" s="92" t="str">
        <f t="shared" si="38"/>
        <v/>
      </c>
      <c r="N1164" s="104">
        <v>0</v>
      </c>
      <c r="O1164" s="92" t="str">
        <f t="shared" si="39"/>
        <v/>
      </c>
      <c r="T1164" s="97" t="s">
        <v>743</v>
      </c>
      <c r="U1164" s="63">
        <v>454</v>
      </c>
    </row>
    <row r="1165" spans="1:21" ht="18" customHeight="1">
      <c r="A1165" s="103"/>
      <c r="B1165" s="104"/>
      <c r="C1165" s="104"/>
      <c r="D1165" s="104"/>
      <c r="E1165" s="92"/>
      <c r="F1165" s="104"/>
      <c r="G1165" s="92"/>
      <c r="H1165" s="90">
        <v>2160203</v>
      </c>
      <c r="I1165" s="90" t="s">
        <v>1112</v>
      </c>
      <c r="J1165" s="143">
        <v>0</v>
      </c>
      <c r="K1165" s="143"/>
      <c r="L1165" s="87">
        <v>0</v>
      </c>
      <c r="M1165" s="92" t="str">
        <f t="shared" si="38"/>
        <v/>
      </c>
      <c r="N1165" s="104">
        <v>0</v>
      </c>
      <c r="O1165" s="92" t="str">
        <f t="shared" si="39"/>
        <v/>
      </c>
      <c r="T1165" s="97" t="s">
        <v>747</v>
      </c>
      <c r="U1165" s="63">
        <v>106089</v>
      </c>
    </row>
    <row r="1166" spans="1:21" ht="18" customHeight="1">
      <c r="A1166" s="103"/>
      <c r="B1166" s="104"/>
      <c r="C1166" s="104"/>
      <c r="D1166" s="104"/>
      <c r="E1166" s="92"/>
      <c r="F1166" s="104"/>
      <c r="G1166" s="92"/>
      <c r="H1166" s="90">
        <v>2160216</v>
      </c>
      <c r="I1166" s="90" t="s">
        <v>738</v>
      </c>
      <c r="J1166" s="143">
        <v>0</v>
      </c>
      <c r="K1166" s="143"/>
      <c r="L1166" s="87">
        <v>0</v>
      </c>
      <c r="M1166" s="92" t="str">
        <f t="shared" si="38"/>
        <v/>
      </c>
      <c r="N1166" s="104">
        <v>0</v>
      </c>
      <c r="O1166" s="92" t="str">
        <f t="shared" si="39"/>
        <v/>
      </c>
      <c r="T1166" s="97" t="s">
        <v>1079</v>
      </c>
      <c r="U1166" s="63">
        <v>64612</v>
      </c>
    </row>
    <row r="1167" spans="1:21" ht="18" customHeight="1">
      <c r="A1167" s="103"/>
      <c r="B1167" s="104"/>
      <c r="C1167" s="104"/>
      <c r="D1167" s="104"/>
      <c r="E1167" s="92"/>
      <c r="F1167" s="104"/>
      <c r="G1167" s="92"/>
      <c r="H1167" s="90">
        <v>2160217</v>
      </c>
      <c r="I1167" s="90" t="s">
        <v>739</v>
      </c>
      <c r="J1167" s="143">
        <v>806</v>
      </c>
      <c r="K1167" s="143"/>
      <c r="L1167" s="87">
        <v>0</v>
      </c>
      <c r="M1167" s="92" t="str">
        <f t="shared" si="38"/>
        <v/>
      </c>
      <c r="N1167" s="104">
        <v>0</v>
      </c>
      <c r="O1167" s="92" t="str">
        <f t="shared" si="39"/>
        <v/>
      </c>
      <c r="T1167" s="96" t="s">
        <v>1080</v>
      </c>
      <c r="U1167" s="63">
        <v>82841</v>
      </c>
    </row>
    <row r="1168" spans="1:21" ht="18" customHeight="1">
      <c r="A1168" s="103"/>
      <c r="B1168" s="104"/>
      <c r="C1168" s="104"/>
      <c r="D1168" s="104"/>
      <c r="E1168" s="92"/>
      <c r="F1168" s="104"/>
      <c r="G1168" s="92"/>
      <c r="H1168" s="90">
        <v>2160218</v>
      </c>
      <c r="I1168" s="90" t="s">
        <v>740</v>
      </c>
      <c r="J1168" s="143">
        <v>0</v>
      </c>
      <c r="K1168" s="143"/>
      <c r="L1168" s="87">
        <v>0</v>
      </c>
      <c r="M1168" s="92" t="str">
        <f t="shared" si="38"/>
        <v/>
      </c>
      <c r="N1168" s="104">
        <v>0</v>
      </c>
      <c r="O1168" s="92" t="str">
        <f t="shared" si="39"/>
        <v/>
      </c>
      <c r="T1168" s="97" t="s">
        <v>754</v>
      </c>
      <c r="U1168" s="63">
        <v>889</v>
      </c>
    </row>
    <row r="1169" spans="1:21" ht="18" customHeight="1">
      <c r="A1169" s="103"/>
      <c r="B1169" s="104"/>
      <c r="C1169" s="104"/>
      <c r="D1169" s="104"/>
      <c r="E1169" s="92"/>
      <c r="F1169" s="104"/>
      <c r="G1169" s="92"/>
      <c r="H1169" s="90">
        <v>2160219</v>
      </c>
      <c r="I1169" s="90" t="s">
        <v>741</v>
      </c>
      <c r="J1169" s="143">
        <v>0</v>
      </c>
      <c r="K1169" s="143"/>
      <c r="L1169" s="87">
        <v>0</v>
      </c>
      <c r="M1169" s="92" t="str">
        <f t="shared" si="38"/>
        <v/>
      </c>
      <c r="N1169" s="104">
        <v>0</v>
      </c>
      <c r="O1169" s="92" t="str">
        <f t="shared" si="39"/>
        <v/>
      </c>
      <c r="T1169" s="97" t="s">
        <v>757</v>
      </c>
      <c r="U1169" s="63">
        <v>38</v>
      </c>
    </row>
    <row r="1170" spans="1:21" ht="18" customHeight="1">
      <c r="A1170" s="103"/>
      <c r="B1170" s="104"/>
      <c r="C1170" s="104"/>
      <c r="D1170" s="104"/>
      <c r="E1170" s="92"/>
      <c r="F1170" s="104"/>
      <c r="G1170" s="92"/>
      <c r="H1170" s="90">
        <v>2160250</v>
      </c>
      <c r="I1170" s="90" t="s">
        <v>1119</v>
      </c>
      <c r="J1170" s="143">
        <v>0</v>
      </c>
      <c r="K1170" s="143"/>
      <c r="L1170" s="87">
        <v>0</v>
      </c>
      <c r="M1170" s="92" t="str">
        <f t="shared" si="38"/>
        <v/>
      </c>
      <c r="N1170" s="104">
        <v>0</v>
      </c>
      <c r="O1170" s="92" t="str">
        <f t="shared" si="39"/>
        <v/>
      </c>
      <c r="T1170" s="97" t="s">
        <v>767</v>
      </c>
      <c r="U1170" s="63">
        <v>40724</v>
      </c>
    </row>
    <row r="1171" spans="1:21" ht="18" customHeight="1">
      <c r="A1171" s="103"/>
      <c r="B1171" s="104"/>
      <c r="C1171" s="104"/>
      <c r="D1171" s="104"/>
      <c r="E1171" s="92"/>
      <c r="F1171" s="104"/>
      <c r="G1171" s="92"/>
      <c r="H1171" s="90">
        <v>2160299</v>
      </c>
      <c r="I1171" s="90" t="s">
        <v>742</v>
      </c>
      <c r="J1171" s="143">
        <v>53336</v>
      </c>
      <c r="K1171" s="143"/>
      <c r="L1171" s="87">
        <v>26554</v>
      </c>
      <c r="M1171" s="92" t="str">
        <f t="shared" si="38"/>
        <v/>
      </c>
      <c r="N1171" s="104">
        <v>4783</v>
      </c>
      <c r="O1171" s="92">
        <f t="shared" si="39"/>
        <v>4.5517457662554879</v>
      </c>
      <c r="T1171" s="97" t="s">
        <v>773</v>
      </c>
      <c r="U1171" s="63">
        <v>0</v>
      </c>
    </row>
    <row r="1172" spans="1:21" ht="18" customHeight="1">
      <c r="A1172" s="103"/>
      <c r="B1172" s="104"/>
      <c r="C1172" s="104"/>
      <c r="D1172" s="104"/>
      <c r="E1172" s="92"/>
      <c r="F1172" s="104"/>
      <c r="G1172" s="92"/>
      <c r="H1172" s="90">
        <v>21605</v>
      </c>
      <c r="I1172" s="80" t="s">
        <v>743</v>
      </c>
      <c r="J1172" s="143">
        <v>3576</v>
      </c>
      <c r="K1172" s="647">
        <v>3106</v>
      </c>
      <c r="L1172" s="87">
        <v>3106</v>
      </c>
      <c r="M1172" s="92">
        <f t="shared" si="38"/>
        <v>1</v>
      </c>
      <c r="N1172" s="104">
        <v>293</v>
      </c>
      <c r="O1172" s="92">
        <f t="shared" si="39"/>
        <v>9.6006825938566553</v>
      </c>
      <c r="T1172" s="97" t="s">
        <v>1081</v>
      </c>
      <c r="U1172" s="63">
        <v>41190</v>
      </c>
    </row>
    <row r="1173" spans="1:21" ht="18" customHeight="1">
      <c r="A1173" s="103"/>
      <c r="B1173" s="104"/>
      <c r="C1173" s="104"/>
      <c r="D1173" s="104"/>
      <c r="E1173" s="92"/>
      <c r="F1173" s="104"/>
      <c r="G1173" s="92"/>
      <c r="H1173" s="90">
        <v>2160501</v>
      </c>
      <c r="I1173" s="90" t="s">
        <v>1110</v>
      </c>
      <c r="J1173" s="143">
        <v>0</v>
      </c>
      <c r="K1173" s="143"/>
      <c r="L1173" s="87">
        <v>0</v>
      </c>
      <c r="M1173" s="92" t="str">
        <f t="shared" si="38"/>
        <v/>
      </c>
      <c r="N1173" s="104">
        <v>0</v>
      </c>
      <c r="O1173" s="92" t="str">
        <f t="shared" si="39"/>
        <v/>
      </c>
      <c r="T1173" s="96" t="s">
        <v>1082</v>
      </c>
      <c r="U1173" s="63">
        <v>0</v>
      </c>
    </row>
    <row r="1174" spans="1:21" ht="18" customHeight="1">
      <c r="A1174" s="103"/>
      <c r="B1174" s="104"/>
      <c r="C1174" s="104"/>
      <c r="D1174" s="104"/>
      <c r="E1174" s="92"/>
      <c r="F1174" s="104"/>
      <c r="G1174" s="92"/>
      <c r="H1174" s="90">
        <v>2160502</v>
      </c>
      <c r="I1174" s="90" t="s">
        <v>1111</v>
      </c>
      <c r="J1174" s="143">
        <v>0</v>
      </c>
      <c r="K1174" s="143"/>
      <c r="L1174" s="87">
        <v>0</v>
      </c>
      <c r="M1174" s="92" t="str">
        <f t="shared" si="38"/>
        <v/>
      </c>
      <c r="N1174" s="104">
        <v>0</v>
      </c>
      <c r="O1174" s="92" t="str">
        <f t="shared" si="39"/>
        <v/>
      </c>
      <c r="T1174" s="97" t="s">
        <v>1083</v>
      </c>
      <c r="U1174" s="63">
        <v>0</v>
      </c>
    </row>
    <row r="1175" spans="1:21" ht="18" customHeight="1">
      <c r="A1175" s="103"/>
      <c r="B1175" s="104"/>
      <c r="C1175" s="104"/>
      <c r="D1175" s="104"/>
      <c r="E1175" s="92"/>
      <c r="F1175" s="104"/>
      <c r="G1175" s="92"/>
      <c r="H1175" s="90">
        <v>2160503</v>
      </c>
      <c r="I1175" s="90" t="s">
        <v>1112</v>
      </c>
      <c r="J1175" s="143">
        <v>0</v>
      </c>
      <c r="K1175" s="143"/>
      <c r="L1175" s="87">
        <v>0</v>
      </c>
      <c r="M1175" s="92" t="str">
        <f t="shared" si="38"/>
        <v/>
      </c>
      <c r="N1175" s="104">
        <v>0</v>
      </c>
      <c r="O1175" s="92" t="str">
        <f t="shared" si="39"/>
        <v/>
      </c>
      <c r="T1175" s="97" t="s">
        <v>1084</v>
      </c>
      <c r="U1175" s="63">
        <v>0</v>
      </c>
    </row>
    <row r="1176" spans="1:21" ht="18" customHeight="1">
      <c r="A1176" s="103"/>
      <c r="B1176" s="104"/>
      <c r="C1176" s="104"/>
      <c r="D1176" s="104"/>
      <c r="E1176" s="92"/>
      <c r="F1176" s="104"/>
      <c r="G1176" s="92"/>
      <c r="H1176" s="90">
        <v>2160504</v>
      </c>
      <c r="I1176" s="90" t="s">
        <v>744</v>
      </c>
      <c r="J1176" s="143">
        <v>3155</v>
      </c>
      <c r="K1176" s="143"/>
      <c r="L1176" s="87">
        <v>2734</v>
      </c>
      <c r="M1176" s="92" t="str">
        <f t="shared" si="38"/>
        <v/>
      </c>
      <c r="N1176" s="104">
        <v>0</v>
      </c>
      <c r="O1176" s="92" t="str">
        <f t="shared" si="39"/>
        <v/>
      </c>
      <c r="T1176" s="97" t="s">
        <v>1085</v>
      </c>
      <c r="U1176" s="63">
        <v>0</v>
      </c>
    </row>
    <row r="1177" spans="1:21" ht="18" customHeight="1">
      <c r="A1177" s="103"/>
      <c r="B1177" s="104"/>
      <c r="C1177" s="104"/>
      <c r="D1177" s="104"/>
      <c r="E1177" s="92"/>
      <c r="F1177" s="104"/>
      <c r="G1177" s="92"/>
      <c r="H1177" s="90">
        <v>2160505</v>
      </c>
      <c r="I1177" s="90" t="s">
        <v>745</v>
      </c>
      <c r="J1177" s="143">
        <v>421</v>
      </c>
      <c r="K1177" s="143"/>
      <c r="L1177" s="87">
        <v>372</v>
      </c>
      <c r="M1177" s="92" t="str">
        <f t="shared" si="38"/>
        <v/>
      </c>
      <c r="N1177" s="104">
        <v>293</v>
      </c>
      <c r="O1177" s="92">
        <f t="shared" si="39"/>
        <v>0.2696245733788396</v>
      </c>
      <c r="T1177" s="97" t="s">
        <v>1086</v>
      </c>
      <c r="U1177" s="63">
        <v>0</v>
      </c>
    </row>
    <row r="1178" spans="1:21" ht="18" customHeight="1">
      <c r="A1178" s="103"/>
      <c r="B1178" s="104"/>
      <c r="C1178" s="104"/>
      <c r="D1178" s="104"/>
      <c r="E1178" s="92"/>
      <c r="F1178" s="104"/>
      <c r="G1178" s="92"/>
      <c r="H1178" s="90">
        <v>2160599</v>
      </c>
      <c r="I1178" s="90" t="s">
        <v>746</v>
      </c>
      <c r="J1178" s="104"/>
      <c r="K1178" s="104"/>
      <c r="L1178" s="87">
        <v>0</v>
      </c>
      <c r="M1178" s="92" t="str">
        <f t="shared" si="38"/>
        <v/>
      </c>
      <c r="N1178" s="104">
        <v>0</v>
      </c>
      <c r="O1178" s="92" t="str">
        <f t="shared" si="39"/>
        <v/>
      </c>
      <c r="T1178" s="97" t="s">
        <v>1087</v>
      </c>
      <c r="U1178" s="63">
        <v>0</v>
      </c>
    </row>
    <row r="1179" spans="1:21" ht="18" customHeight="1">
      <c r="A1179" s="103"/>
      <c r="B1179" s="104"/>
      <c r="C1179" s="104"/>
      <c r="D1179" s="104"/>
      <c r="E1179" s="92"/>
      <c r="F1179" s="104"/>
      <c r="G1179" s="92"/>
      <c r="H1179" s="90">
        <v>21606</v>
      </c>
      <c r="I1179" s="80" t="s">
        <v>747</v>
      </c>
      <c r="J1179" s="108">
        <v>94327</v>
      </c>
      <c r="K1179" s="647">
        <v>117035</v>
      </c>
      <c r="L1179" s="87">
        <v>93804</v>
      </c>
      <c r="M1179" s="92">
        <f t="shared" si="38"/>
        <v>0.80150382364250006</v>
      </c>
      <c r="N1179" s="104">
        <v>93896</v>
      </c>
      <c r="O1179" s="92">
        <f t="shared" si="39"/>
        <v>-9.7980744653658469E-4</v>
      </c>
      <c r="T1179" s="97" t="s">
        <v>1088</v>
      </c>
      <c r="U1179" s="63">
        <v>0</v>
      </c>
    </row>
    <row r="1180" spans="1:21" ht="18" customHeight="1">
      <c r="A1180" s="103"/>
      <c r="B1180" s="104"/>
      <c r="C1180" s="104"/>
      <c r="D1180" s="104"/>
      <c r="E1180" s="92"/>
      <c r="F1180" s="104"/>
      <c r="G1180" s="92"/>
      <c r="H1180" s="90">
        <v>2160601</v>
      </c>
      <c r="I1180" s="90" t="s">
        <v>1110</v>
      </c>
      <c r="J1180" s="143">
        <v>0</v>
      </c>
      <c r="K1180" s="143"/>
      <c r="L1180" s="87">
        <v>0</v>
      </c>
      <c r="M1180" s="92" t="str">
        <f t="shared" si="38"/>
        <v/>
      </c>
      <c r="N1180" s="104">
        <v>0</v>
      </c>
      <c r="O1180" s="92" t="str">
        <f t="shared" si="39"/>
        <v/>
      </c>
      <c r="T1180" s="97" t="s">
        <v>1089</v>
      </c>
      <c r="U1180" s="63">
        <v>0</v>
      </c>
    </row>
    <row r="1181" spans="1:21" ht="18" customHeight="1">
      <c r="A1181" s="103"/>
      <c r="B1181" s="104"/>
      <c r="C1181" s="104"/>
      <c r="D1181" s="104"/>
      <c r="E1181" s="92"/>
      <c r="F1181" s="104"/>
      <c r="G1181" s="92"/>
      <c r="H1181" s="90">
        <v>2160602</v>
      </c>
      <c r="I1181" s="90" t="s">
        <v>1111</v>
      </c>
      <c r="J1181" s="143">
        <v>0</v>
      </c>
      <c r="K1181" s="143"/>
      <c r="L1181" s="87">
        <v>0</v>
      </c>
      <c r="M1181" s="92" t="str">
        <f t="shared" si="38"/>
        <v/>
      </c>
      <c r="N1181" s="104">
        <v>0</v>
      </c>
      <c r="O1181" s="92" t="str">
        <f t="shared" si="39"/>
        <v/>
      </c>
      <c r="T1181" s="97" t="s">
        <v>1090</v>
      </c>
      <c r="U1181" s="63">
        <v>0</v>
      </c>
    </row>
    <row r="1182" spans="1:21" ht="18" customHeight="1">
      <c r="A1182" s="103"/>
      <c r="B1182" s="104"/>
      <c r="C1182" s="104"/>
      <c r="D1182" s="104"/>
      <c r="E1182" s="92"/>
      <c r="F1182" s="104"/>
      <c r="G1182" s="92"/>
      <c r="H1182" s="90">
        <v>2160603</v>
      </c>
      <c r="I1182" s="90" t="s">
        <v>1112</v>
      </c>
      <c r="J1182" s="143">
        <v>0</v>
      </c>
      <c r="K1182" s="143"/>
      <c r="L1182" s="87">
        <v>0</v>
      </c>
      <c r="M1182" s="92" t="str">
        <f t="shared" si="38"/>
        <v/>
      </c>
      <c r="N1182" s="104">
        <v>0</v>
      </c>
      <c r="O1182" s="92" t="str">
        <f t="shared" si="39"/>
        <v/>
      </c>
      <c r="T1182" s="96" t="s">
        <v>778</v>
      </c>
      <c r="U1182" s="63">
        <v>51715</v>
      </c>
    </row>
    <row r="1183" spans="1:21" ht="18" customHeight="1">
      <c r="A1183" s="103"/>
      <c r="B1183" s="104"/>
      <c r="C1183" s="104"/>
      <c r="D1183" s="104"/>
      <c r="E1183" s="92"/>
      <c r="F1183" s="104"/>
      <c r="G1183" s="92"/>
      <c r="H1183" s="90">
        <v>2160607</v>
      </c>
      <c r="I1183" s="90" t="s">
        <v>748</v>
      </c>
      <c r="J1183" s="143">
        <v>0</v>
      </c>
      <c r="K1183" s="143"/>
      <c r="L1183" s="87">
        <v>0</v>
      </c>
      <c r="M1183" s="92" t="str">
        <f t="shared" si="38"/>
        <v/>
      </c>
      <c r="N1183" s="104">
        <v>0</v>
      </c>
      <c r="O1183" s="92" t="str">
        <f t="shared" si="39"/>
        <v/>
      </c>
      <c r="T1183" s="97" t="s">
        <v>779</v>
      </c>
      <c r="U1183" s="63">
        <v>0</v>
      </c>
    </row>
    <row r="1184" spans="1:21" ht="18" customHeight="1">
      <c r="A1184" s="103"/>
      <c r="B1184" s="104"/>
      <c r="C1184" s="104"/>
      <c r="D1184" s="104"/>
      <c r="E1184" s="92"/>
      <c r="F1184" s="104"/>
      <c r="G1184" s="92"/>
      <c r="H1184" s="90">
        <v>2160699</v>
      </c>
      <c r="I1184" s="90" t="s">
        <v>749</v>
      </c>
      <c r="J1184" s="143">
        <v>94327</v>
      </c>
      <c r="K1184" s="143"/>
      <c r="L1184" s="87">
        <v>93804</v>
      </c>
      <c r="M1184" s="92" t="str">
        <f t="shared" si="38"/>
        <v/>
      </c>
      <c r="N1184" s="104">
        <v>93896</v>
      </c>
      <c r="O1184" s="92">
        <f t="shared" si="39"/>
        <v>-9.7980744653658469E-4</v>
      </c>
      <c r="T1184" s="97" t="s">
        <v>780</v>
      </c>
      <c r="U1184" s="63">
        <v>0</v>
      </c>
    </row>
    <row r="1185" spans="1:21" ht="18" customHeight="1">
      <c r="A1185" s="103"/>
      <c r="B1185" s="104"/>
      <c r="C1185" s="104"/>
      <c r="D1185" s="104"/>
      <c r="E1185" s="92"/>
      <c r="F1185" s="104"/>
      <c r="G1185" s="92"/>
      <c r="H1185" s="90">
        <v>21699</v>
      </c>
      <c r="I1185" s="80" t="s">
        <v>750</v>
      </c>
      <c r="J1185" s="108">
        <f>-500000+967659</f>
        <v>467659</v>
      </c>
      <c r="K1185" s="647">
        <v>211931</v>
      </c>
      <c r="L1185" s="87">
        <v>198931</v>
      </c>
      <c r="M1185" s="92">
        <f t="shared" si="38"/>
        <v>0.9386592806149171</v>
      </c>
      <c r="N1185" s="104">
        <v>129262</v>
      </c>
      <c r="O1185" s="92">
        <f t="shared" si="39"/>
        <v>0.53897510482585753</v>
      </c>
      <c r="T1185" s="97" t="s">
        <v>781</v>
      </c>
      <c r="U1185" s="63">
        <v>0</v>
      </c>
    </row>
    <row r="1186" spans="1:21" ht="18" customHeight="1">
      <c r="A1186" s="103"/>
      <c r="B1186" s="104"/>
      <c r="C1186" s="104"/>
      <c r="D1186" s="104"/>
      <c r="E1186" s="92"/>
      <c r="F1186" s="104"/>
      <c r="G1186" s="92"/>
      <c r="H1186" s="90">
        <v>2169901</v>
      </c>
      <c r="I1186" s="90" t="s">
        <v>751</v>
      </c>
      <c r="J1186" s="143">
        <v>0</v>
      </c>
      <c r="K1186" s="143"/>
      <c r="L1186" s="87">
        <v>0</v>
      </c>
      <c r="M1186" s="92" t="str">
        <f t="shared" si="38"/>
        <v/>
      </c>
      <c r="N1186" s="104">
        <v>0</v>
      </c>
      <c r="O1186" s="92" t="str">
        <f t="shared" si="39"/>
        <v/>
      </c>
      <c r="T1186" s="97" t="s">
        <v>782</v>
      </c>
      <c r="U1186" s="63">
        <v>0</v>
      </c>
    </row>
    <row r="1187" spans="1:21" ht="18" customHeight="1">
      <c r="A1187" s="103"/>
      <c r="B1187" s="104"/>
      <c r="C1187" s="104"/>
      <c r="D1187" s="104"/>
      <c r="E1187" s="92"/>
      <c r="F1187" s="104"/>
      <c r="G1187" s="92"/>
      <c r="H1187" s="90">
        <v>2169999</v>
      </c>
      <c r="I1187" s="90" t="s">
        <v>752</v>
      </c>
      <c r="J1187" s="143">
        <f>-500000+967659</f>
        <v>467659</v>
      </c>
      <c r="K1187" s="143"/>
      <c r="L1187" s="87">
        <v>198931</v>
      </c>
      <c r="M1187" s="92" t="str">
        <f t="shared" si="38"/>
        <v/>
      </c>
      <c r="N1187" s="104">
        <v>129262</v>
      </c>
      <c r="O1187" s="92">
        <f t="shared" si="39"/>
        <v>0.53897510482585753</v>
      </c>
      <c r="T1187" s="97" t="s">
        <v>783</v>
      </c>
      <c r="U1187" s="63">
        <v>0</v>
      </c>
    </row>
    <row r="1188" spans="1:21" s="112" customFormat="1" ht="18" customHeight="1">
      <c r="A1188" s="111"/>
      <c r="B1188" s="109"/>
      <c r="C1188" s="109"/>
      <c r="D1188" s="109"/>
      <c r="E1188" s="82"/>
      <c r="F1188" s="109"/>
      <c r="G1188" s="82"/>
      <c r="H1188" s="80">
        <v>217</v>
      </c>
      <c r="I1188" s="80" t="s">
        <v>753</v>
      </c>
      <c r="J1188" s="110">
        <v>50484</v>
      </c>
      <c r="K1188" s="656">
        <v>355728</v>
      </c>
      <c r="L1188" s="77">
        <v>354228</v>
      </c>
      <c r="M1188" s="82">
        <f t="shared" si="38"/>
        <v>0.99578329510187558</v>
      </c>
      <c r="N1188" s="109">
        <v>50600</v>
      </c>
      <c r="O1188" s="82">
        <f t="shared" si="39"/>
        <v>6.0005533596837948</v>
      </c>
      <c r="P1188" s="84"/>
      <c r="T1188" s="96" t="s">
        <v>513</v>
      </c>
      <c r="U1188" s="112">
        <v>0</v>
      </c>
    </row>
    <row r="1189" spans="1:21" ht="18" customHeight="1">
      <c r="A1189" s="103"/>
      <c r="B1189" s="104"/>
      <c r="C1189" s="104"/>
      <c r="D1189" s="104"/>
      <c r="E1189" s="92"/>
      <c r="F1189" s="104"/>
      <c r="G1189" s="92"/>
      <c r="H1189" s="90">
        <v>21701</v>
      </c>
      <c r="I1189" s="80" t="s">
        <v>754</v>
      </c>
      <c r="J1189" s="143">
        <v>904</v>
      </c>
      <c r="K1189" s="647">
        <v>988</v>
      </c>
      <c r="L1189" s="87">
        <v>988</v>
      </c>
      <c r="M1189" s="92">
        <f t="shared" si="38"/>
        <v>1</v>
      </c>
      <c r="N1189" s="104">
        <v>859</v>
      </c>
      <c r="O1189" s="92">
        <f t="shared" si="39"/>
        <v>0.15017462165308504</v>
      </c>
      <c r="T1189" s="97" t="s">
        <v>784</v>
      </c>
      <c r="U1189" s="63">
        <v>0</v>
      </c>
    </row>
    <row r="1190" spans="1:21" ht="18" customHeight="1">
      <c r="A1190" s="103"/>
      <c r="B1190" s="104"/>
      <c r="C1190" s="104"/>
      <c r="D1190" s="104"/>
      <c r="E1190" s="92"/>
      <c r="F1190" s="104"/>
      <c r="G1190" s="92"/>
      <c r="H1190" s="90">
        <v>2170101</v>
      </c>
      <c r="I1190" s="90" t="s">
        <v>1110</v>
      </c>
      <c r="J1190" s="143"/>
      <c r="K1190" s="143"/>
      <c r="L1190" s="87">
        <v>380</v>
      </c>
      <c r="M1190" s="92" t="str">
        <f t="shared" si="38"/>
        <v/>
      </c>
      <c r="N1190" s="104">
        <v>384</v>
      </c>
      <c r="O1190" s="92">
        <f t="shared" si="39"/>
        <v>-1.041666666666663E-2</v>
      </c>
      <c r="T1190" s="97" t="s">
        <v>785</v>
      </c>
      <c r="U1190" s="63">
        <v>0</v>
      </c>
    </row>
    <row r="1191" spans="1:21" ht="18" customHeight="1">
      <c r="A1191" s="103"/>
      <c r="B1191" s="104"/>
      <c r="C1191" s="104"/>
      <c r="D1191" s="104"/>
      <c r="E1191" s="92"/>
      <c r="F1191" s="104"/>
      <c r="G1191" s="92"/>
      <c r="H1191" s="90">
        <v>2170102</v>
      </c>
      <c r="I1191" s="90" t="s">
        <v>1111</v>
      </c>
      <c r="J1191" s="143"/>
      <c r="K1191" s="143"/>
      <c r="L1191" s="87">
        <v>608</v>
      </c>
      <c r="M1191" s="92" t="str">
        <f t="shared" si="38"/>
        <v/>
      </c>
      <c r="N1191" s="104">
        <v>475</v>
      </c>
      <c r="O1191" s="92">
        <f t="shared" si="39"/>
        <v>0.28000000000000003</v>
      </c>
      <c r="T1191" s="97" t="s">
        <v>786</v>
      </c>
      <c r="U1191" s="63">
        <v>51715</v>
      </c>
    </row>
    <row r="1192" spans="1:21" ht="18" customHeight="1">
      <c r="A1192" s="103"/>
      <c r="B1192" s="104"/>
      <c r="C1192" s="104"/>
      <c r="D1192" s="104"/>
      <c r="E1192" s="92"/>
      <c r="F1192" s="104"/>
      <c r="G1192" s="92"/>
      <c r="H1192" s="90">
        <v>2170103</v>
      </c>
      <c r="I1192" s="90" t="s">
        <v>1112</v>
      </c>
      <c r="J1192" s="104"/>
      <c r="K1192" s="104"/>
      <c r="L1192" s="87">
        <v>0</v>
      </c>
      <c r="M1192" s="92" t="str">
        <f t="shared" si="38"/>
        <v/>
      </c>
      <c r="N1192" s="104">
        <v>0</v>
      </c>
      <c r="O1192" s="92" t="str">
        <f t="shared" si="39"/>
        <v/>
      </c>
      <c r="T1192" s="97"/>
    </row>
    <row r="1193" spans="1:21" ht="18" customHeight="1">
      <c r="A1193" s="103"/>
      <c r="B1193" s="104"/>
      <c r="C1193" s="104"/>
      <c r="D1193" s="104"/>
      <c r="E1193" s="92"/>
      <c r="F1193" s="104"/>
      <c r="G1193" s="92"/>
      <c r="H1193" s="90">
        <v>2170104</v>
      </c>
      <c r="I1193" s="90" t="s">
        <v>755</v>
      </c>
      <c r="J1193" s="104"/>
      <c r="K1193" s="104"/>
      <c r="L1193" s="87">
        <v>0</v>
      </c>
      <c r="M1193" s="92" t="str">
        <f t="shared" si="38"/>
        <v/>
      </c>
      <c r="N1193" s="104">
        <v>0</v>
      </c>
      <c r="O1193" s="92" t="str">
        <f t="shared" si="39"/>
        <v/>
      </c>
      <c r="T1193" s="97"/>
    </row>
    <row r="1194" spans="1:21" ht="18" customHeight="1">
      <c r="A1194" s="103"/>
      <c r="B1194" s="104"/>
      <c r="C1194" s="104"/>
      <c r="D1194" s="104"/>
      <c r="E1194" s="92"/>
      <c r="F1194" s="104"/>
      <c r="G1194" s="92"/>
      <c r="H1194" s="90">
        <v>2170150</v>
      </c>
      <c r="I1194" s="90" t="s">
        <v>1119</v>
      </c>
      <c r="J1194" s="104"/>
      <c r="K1194" s="104"/>
      <c r="L1194" s="87">
        <v>0</v>
      </c>
      <c r="M1194" s="92" t="str">
        <f t="shared" si="38"/>
        <v/>
      </c>
      <c r="N1194" s="104">
        <v>0</v>
      </c>
      <c r="O1194" s="92" t="str">
        <f t="shared" si="39"/>
        <v/>
      </c>
      <c r="T1194" s="97"/>
    </row>
    <row r="1195" spans="1:21" ht="18" customHeight="1">
      <c r="A1195" s="103"/>
      <c r="B1195" s="104"/>
      <c r="C1195" s="104"/>
      <c r="D1195" s="104"/>
      <c r="E1195" s="92"/>
      <c r="F1195" s="104"/>
      <c r="G1195" s="92"/>
      <c r="H1195" s="90">
        <v>2170199</v>
      </c>
      <c r="I1195" s="90" t="s">
        <v>756</v>
      </c>
      <c r="J1195" s="104"/>
      <c r="K1195" s="104"/>
      <c r="L1195" s="87">
        <v>0</v>
      </c>
      <c r="M1195" s="92" t="str">
        <f t="shared" si="38"/>
        <v/>
      </c>
      <c r="N1195" s="104">
        <v>0</v>
      </c>
      <c r="O1195" s="92" t="str">
        <f t="shared" si="39"/>
        <v/>
      </c>
      <c r="T1195" s="97"/>
    </row>
    <row r="1196" spans="1:21" ht="18" customHeight="1">
      <c r="A1196" s="103"/>
      <c r="B1196" s="104"/>
      <c r="C1196" s="104"/>
      <c r="D1196" s="104"/>
      <c r="E1196" s="92"/>
      <c r="F1196" s="104"/>
      <c r="G1196" s="92"/>
      <c r="H1196" s="90">
        <v>21702</v>
      </c>
      <c r="I1196" s="80" t="s">
        <v>757</v>
      </c>
      <c r="J1196" s="104"/>
      <c r="K1196" s="647">
        <v>5074</v>
      </c>
      <c r="L1196" s="87">
        <v>5074</v>
      </c>
      <c r="M1196" s="92">
        <f t="shared" si="38"/>
        <v>1</v>
      </c>
      <c r="N1196" s="104">
        <v>1290</v>
      </c>
      <c r="O1196" s="92">
        <f t="shared" si="39"/>
        <v>2.9333333333333331</v>
      </c>
      <c r="T1196" s="97"/>
    </row>
    <row r="1197" spans="1:21" ht="18" customHeight="1">
      <c r="A1197" s="103"/>
      <c r="B1197" s="104"/>
      <c r="C1197" s="104"/>
      <c r="D1197" s="104"/>
      <c r="E1197" s="92"/>
      <c r="F1197" s="104"/>
      <c r="G1197" s="92"/>
      <c r="H1197" s="90">
        <v>2170201</v>
      </c>
      <c r="I1197" s="90" t="s">
        <v>758</v>
      </c>
      <c r="J1197" s="104"/>
      <c r="K1197" s="104"/>
      <c r="L1197" s="87">
        <v>0</v>
      </c>
      <c r="M1197" s="92" t="str">
        <f t="shared" si="38"/>
        <v/>
      </c>
      <c r="N1197" s="104">
        <v>0</v>
      </c>
      <c r="O1197" s="92" t="str">
        <f t="shared" si="39"/>
        <v/>
      </c>
      <c r="T1197" s="97"/>
    </row>
    <row r="1198" spans="1:21" ht="18" customHeight="1">
      <c r="A1198" s="103"/>
      <c r="B1198" s="104"/>
      <c r="C1198" s="104"/>
      <c r="D1198" s="104"/>
      <c r="E1198" s="92"/>
      <c r="F1198" s="104"/>
      <c r="G1198" s="92"/>
      <c r="H1198" s="90">
        <v>2170202</v>
      </c>
      <c r="I1198" s="90" t="s">
        <v>759</v>
      </c>
      <c r="J1198" s="104"/>
      <c r="K1198" s="104"/>
      <c r="L1198" s="87">
        <v>0</v>
      </c>
      <c r="M1198" s="92" t="str">
        <f t="shared" si="38"/>
        <v/>
      </c>
      <c r="N1198" s="104">
        <v>0</v>
      </c>
      <c r="O1198" s="92" t="str">
        <f t="shared" si="39"/>
        <v/>
      </c>
      <c r="T1198" s="97"/>
    </row>
    <row r="1199" spans="1:21" ht="18" customHeight="1">
      <c r="A1199" s="103"/>
      <c r="B1199" s="104"/>
      <c r="C1199" s="104"/>
      <c r="D1199" s="104"/>
      <c r="E1199" s="92"/>
      <c r="F1199" s="104"/>
      <c r="G1199" s="92"/>
      <c r="H1199" s="90">
        <v>2170203</v>
      </c>
      <c r="I1199" s="90" t="s">
        <v>760</v>
      </c>
      <c r="J1199" s="104"/>
      <c r="K1199" s="104"/>
      <c r="L1199" s="87">
        <v>0</v>
      </c>
      <c r="M1199" s="92" t="str">
        <f t="shared" si="38"/>
        <v/>
      </c>
      <c r="N1199" s="104">
        <v>0</v>
      </c>
      <c r="O1199" s="92" t="str">
        <f t="shared" si="39"/>
        <v/>
      </c>
      <c r="T1199" s="97"/>
    </row>
    <row r="1200" spans="1:21" ht="18" customHeight="1">
      <c r="A1200" s="103"/>
      <c r="B1200" s="104"/>
      <c r="C1200" s="104"/>
      <c r="D1200" s="104"/>
      <c r="E1200" s="92"/>
      <c r="F1200" s="104"/>
      <c r="G1200" s="92"/>
      <c r="H1200" s="90">
        <v>2170204</v>
      </c>
      <c r="I1200" s="90" t="s">
        <v>761</v>
      </c>
      <c r="J1200" s="104"/>
      <c r="K1200" s="104"/>
      <c r="L1200" s="87">
        <v>0</v>
      </c>
      <c r="M1200" s="92" t="str">
        <f t="shared" si="38"/>
        <v/>
      </c>
      <c r="N1200" s="104">
        <v>0</v>
      </c>
      <c r="O1200" s="92" t="str">
        <f t="shared" si="39"/>
        <v/>
      </c>
      <c r="T1200" s="97"/>
    </row>
    <row r="1201" spans="1:20" ht="18" customHeight="1">
      <c r="A1201" s="103"/>
      <c r="B1201" s="104"/>
      <c r="C1201" s="104"/>
      <c r="D1201" s="104"/>
      <c r="E1201" s="92"/>
      <c r="F1201" s="104"/>
      <c r="G1201" s="92"/>
      <c r="H1201" s="90">
        <v>2170205</v>
      </c>
      <c r="I1201" s="90" t="s">
        <v>762</v>
      </c>
      <c r="J1201" s="104"/>
      <c r="K1201" s="104"/>
      <c r="L1201" s="87">
        <v>0</v>
      </c>
      <c r="M1201" s="92" t="str">
        <f t="shared" si="38"/>
        <v/>
      </c>
      <c r="N1201" s="104">
        <v>0</v>
      </c>
      <c r="O1201" s="92" t="str">
        <f t="shared" si="39"/>
        <v/>
      </c>
      <c r="T1201" s="97"/>
    </row>
    <row r="1202" spans="1:20" ht="18" customHeight="1">
      <c r="A1202" s="103"/>
      <c r="B1202" s="104"/>
      <c r="C1202" s="104"/>
      <c r="D1202" s="104"/>
      <c r="E1202" s="92"/>
      <c r="F1202" s="104"/>
      <c r="G1202" s="92"/>
      <c r="H1202" s="90">
        <v>2170206</v>
      </c>
      <c r="I1202" s="90" t="s">
        <v>763</v>
      </c>
      <c r="J1202" s="104"/>
      <c r="K1202" s="104"/>
      <c r="L1202" s="87">
        <v>0</v>
      </c>
      <c r="M1202" s="92" t="str">
        <f t="shared" si="38"/>
        <v/>
      </c>
      <c r="N1202" s="104">
        <v>0</v>
      </c>
      <c r="O1202" s="92" t="str">
        <f t="shared" si="39"/>
        <v/>
      </c>
      <c r="T1202" s="97"/>
    </row>
    <row r="1203" spans="1:20" ht="18" customHeight="1">
      <c r="A1203" s="103"/>
      <c r="B1203" s="104"/>
      <c r="C1203" s="104"/>
      <c r="D1203" s="104"/>
      <c r="E1203" s="92"/>
      <c r="F1203" s="104"/>
      <c r="G1203" s="92"/>
      <c r="H1203" s="90">
        <v>2170207</v>
      </c>
      <c r="I1203" s="90" t="s">
        <v>764</v>
      </c>
      <c r="J1203" s="104"/>
      <c r="K1203" s="104"/>
      <c r="L1203" s="87">
        <v>0</v>
      </c>
      <c r="M1203" s="92" t="str">
        <f t="shared" si="38"/>
        <v/>
      </c>
      <c r="N1203" s="104">
        <v>0</v>
      </c>
      <c r="O1203" s="92" t="str">
        <f t="shared" si="39"/>
        <v/>
      </c>
      <c r="T1203" s="97"/>
    </row>
    <row r="1204" spans="1:20" ht="18" customHeight="1">
      <c r="A1204" s="103"/>
      <c r="B1204" s="104"/>
      <c r="C1204" s="104"/>
      <c r="D1204" s="104"/>
      <c r="E1204" s="92"/>
      <c r="F1204" s="104"/>
      <c r="G1204" s="92"/>
      <c r="H1204" s="90">
        <v>2170208</v>
      </c>
      <c r="I1204" s="90" t="s">
        <v>765</v>
      </c>
      <c r="J1204" s="104"/>
      <c r="K1204" s="104"/>
      <c r="L1204" s="87">
        <v>0</v>
      </c>
      <c r="M1204" s="92" t="str">
        <f t="shared" si="38"/>
        <v/>
      </c>
      <c r="N1204" s="104">
        <v>0</v>
      </c>
      <c r="O1204" s="92" t="str">
        <f t="shared" si="39"/>
        <v/>
      </c>
      <c r="T1204" s="97"/>
    </row>
    <row r="1205" spans="1:20" ht="18" customHeight="1">
      <c r="A1205" s="103"/>
      <c r="B1205" s="104"/>
      <c r="C1205" s="104"/>
      <c r="D1205" s="104"/>
      <c r="E1205" s="92"/>
      <c r="F1205" s="104"/>
      <c r="G1205" s="92"/>
      <c r="H1205" s="90">
        <v>2170299</v>
      </c>
      <c r="I1205" s="90" t="s">
        <v>766</v>
      </c>
      <c r="J1205" s="104"/>
      <c r="K1205" s="104"/>
      <c r="L1205" s="87">
        <v>5074</v>
      </c>
      <c r="M1205" s="92" t="str">
        <f t="shared" si="38"/>
        <v/>
      </c>
      <c r="N1205" s="104">
        <v>1290</v>
      </c>
      <c r="O1205" s="92">
        <f t="shared" si="39"/>
        <v>2.9333333333333331</v>
      </c>
      <c r="T1205" s="97"/>
    </row>
    <row r="1206" spans="1:20" ht="18" customHeight="1">
      <c r="A1206" s="103"/>
      <c r="B1206" s="104"/>
      <c r="C1206" s="104"/>
      <c r="D1206" s="104"/>
      <c r="E1206" s="92"/>
      <c r="F1206" s="104"/>
      <c r="G1206" s="92"/>
      <c r="H1206" s="90">
        <v>21703</v>
      </c>
      <c r="I1206" s="80" t="s">
        <v>767</v>
      </c>
      <c r="J1206" s="143">
        <v>3730</v>
      </c>
      <c r="K1206" s="647">
        <v>310097</v>
      </c>
      <c r="L1206" s="87">
        <v>308597</v>
      </c>
      <c r="M1206" s="92">
        <f t="shared" si="38"/>
        <v>0.99516280389684519</v>
      </c>
      <c r="N1206" s="104">
        <v>7478</v>
      </c>
      <c r="O1206" s="92">
        <f t="shared" si="39"/>
        <v>40.267317464562716</v>
      </c>
      <c r="T1206" s="97"/>
    </row>
    <row r="1207" spans="1:20" ht="18" customHeight="1">
      <c r="A1207" s="103"/>
      <c r="B1207" s="104"/>
      <c r="C1207" s="104"/>
      <c r="D1207" s="104"/>
      <c r="E1207" s="92"/>
      <c r="F1207" s="104"/>
      <c r="G1207" s="92"/>
      <c r="H1207" s="90">
        <v>2170301</v>
      </c>
      <c r="I1207" s="90" t="s">
        <v>768</v>
      </c>
      <c r="J1207" s="104"/>
      <c r="K1207" s="104"/>
      <c r="L1207" s="87">
        <v>0</v>
      </c>
      <c r="M1207" s="92" t="str">
        <f t="shared" si="38"/>
        <v/>
      </c>
      <c r="N1207" s="104">
        <v>0</v>
      </c>
      <c r="O1207" s="92" t="str">
        <f t="shared" si="39"/>
        <v/>
      </c>
      <c r="T1207" s="97"/>
    </row>
    <row r="1208" spans="1:20" ht="18" customHeight="1">
      <c r="A1208" s="103"/>
      <c r="B1208" s="104"/>
      <c r="C1208" s="104"/>
      <c r="D1208" s="104"/>
      <c r="E1208" s="92"/>
      <c r="F1208" s="104"/>
      <c r="G1208" s="92"/>
      <c r="H1208" s="90">
        <v>2170302</v>
      </c>
      <c r="I1208" s="90" t="s">
        <v>769</v>
      </c>
      <c r="J1208" s="104"/>
      <c r="K1208" s="104"/>
      <c r="L1208" s="87">
        <v>0</v>
      </c>
      <c r="M1208" s="92" t="str">
        <f t="shared" si="38"/>
        <v/>
      </c>
      <c r="N1208" s="104">
        <v>0</v>
      </c>
      <c r="O1208" s="92" t="str">
        <f t="shared" si="39"/>
        <v/>
      </c>
      <c r="T1208" s="97"/>
    </row>
    <row r="1209" spans="1:20" ht="18" customHeight="1">
      <c r="A1209" s="103"/>
      <c r="B1209" s="104"/>
      <c r="C1209" s="104"/>
      <c r="D1209" s="104"/>
      <c r="E1209" s="92"/>
      <c r="F1209" s="104"/>
      <c r="G1209" s="92"/>
      <c r="H1209" s="90">
        <v>2170303</v>
      </c>
      <c r="I1209" s="90" t="s">
        <v>770</v>
      </c>
      <c r="J1209" s="104"/>
      <c r="K1209" s="104"/>
      <c r="L1209" s="87">
        <v>0</v>
      </c>
      <c r="M1209" s="92" t="str">
        <f t="shared" si="38"/>
        <v/>
      </c>
      <c r="N1209" s="104">
        <v>0</v>
      </c>
      <c r="O1209" s="92" t="str">
        <f t="shared" si="39"/>
        <v/>
      </c>
      <c r="T1209" s="97"/>
    </row>
    <row r="1210" spans="1:20" ht="18" customHeight="1">
      <c r="A1210" s="103"/>
      <c r="B1210" s="104"/>
      <c r="C1210" s="104"/>
      <c r="D1210" s="104"/>
      <c r="E1210" s="92"/>
      <c r="F1210" s="104"/>
      <c r="G1210" s="92"/>
      <c r="H1210" s="90">
        <v>2170304</v>
      </c>
      <c r="I1210" s="90" t="s">
        <v>771</v>
      </c>
      <c r="J1210" s="104"/>
      <c r="K1210" s="104"/>
      <c r="L1210" s="87">
        <v>0</v>
      </c>
      <c r="M1210" s="92" t="str">
        <f t="shared" si="38"/>
        <v/>
      </c>
      <c r="N1210" s="104">
        <v>0</v>
      </c>
      <c r="O1210" s="92" t="str">
        <f t="shared" si="39"/>
        <v/>
      </c>
      <c r="T1210" s="97"/>
    </row>
    <row r="1211" spans="1:20" ht="18" customHeight="1">
      <c r="A1211" s="103"/>
      <c r="B1211" s="104"/>
      <c r="C1211" s="104"/>
      <c r="D1211" s="104"/>
      <c r="E1211" s="92"/>
      <c r="F1211" s="104"/>
      <c r="G1211" s="92"/>
      <c r="H1211" s="90">
        <v>2170399</v>
      </c>
      <c r="I1211" s="90" t="s">
        <v>772</v>
      </c>
      <c r="J1211" s="104"/>
      <c r="K1211" s="104"/>
      <c r="L1211" s="87">
        <v>308597</v>
      </c>
      <c r="M1211" s="92" t="str">
        <f t="shared" si="38"/>
        <v/>
      </c>
      <c r="N1211" s="104">
        <v>7478</v>
      </c>
      <c r="O1211" s="92">
        <f t="shared" si="39"/>
        <v>40.267317464562716</v>
      </c>
      <c r="T1211" s="97"/>
    </row>
    <row r="1212" spans="1:20" ht="18" customHeight="1">
      <c r="A1212" s="103"/>
      <c r="B1212" s="104"/>
      <c r="C1212" s="104"/>
      <c r="D1212" s="104"/>
      <c r="E1212" s="92"/>
      <c r="F1212" s="104"/>
      <c r="G1212" s="92"/>
      <c r="H1212" s="90">
        <v>21704</v>
      </c>
      <c r="I1212" s="80" t="s">
        <v>773</v>
      </c>
      <c r="J1212" s="104"/>
      <c r="K1212" s="104"/>
      <c r="L1212" s="87">
        <v>0</v>
      </c>
      <c r="M1212" s="92" t="str">
        <f t="shared" si="38"/>
        <v/>
      </c>
      <c r="N1212" s="104">
        <v>0</v>
      </c>
      <c r="O1212" s="92" t="str">
        <f t="shared" si="39"/>
        <v/>
      </c>
      <c r="T1212" s="97"/>
    </row>
    <row r="1213" spans="1:20" ht="18" customHeight="1">
      <c r="A1213" s="103"/>
      <c r="B1213" s="104"/>
      <c r="C1213" s="104"/>
      <c r="D1213" s="104"/>
      <c r="E1213" s="92"/>
      <c r="F1213" s="104"/>
      <c r="G1213" s="92"/>
      <c r="H1213" s="90">
        <v>2170401</v>
      </c>
      <c r="I1213" s="90" t="s">
        <v>774</v>
      </c>
      <c r="J1213" s="104"/>
      <c r="K1213" s="104"/>
      <c r="L1213" s="87">
        <v>0</v>
      </c>
      <c r="M1213" s="92" t="str">
        <f t="shared" si="38"/>
        <v/>
      </c>
      <c r="N1213" s="104">
        <v>0</v>
      </c>
      <c r="O1213" s="92" t="str">
        <f t="shared" si="39"/>
        <v/>
      </c>
      <c r="T1213" s="97"/>
    </row>
    <row r="1214" spans="1:20" ht="18" customHeight="1">
      <c r="A1214" s="103"/>
      <c r="B1214" s="104"/>
      <c r="C1214" s="104"/>
      <c r="D1214" s="104"/>
      <c r="E1214" s="92"/>
      <c r="F1214" s="104"/>
      <c r="G1214" s="92"/>
      <c r="H1214" s="90">
        <v>2170499</v>
      </c>
      <c r="I1214" s="90" t="s">
        <v>775</v>
      </c>
      <c r="J1214" s="104"/>
      <c r="K1214" s="104"/>
      <c r="L1214" s="87">
        <v>0</v>
      </c>
      <c r="M1214" s="92" t="str">
        <f t="shared" si="38"/>
        <v/>
      </c>
      <c r="N1214" s="104">
        <v>0</v>
      </c>
      <c r="O1214" s="92" t="str">
        <f t="shared" si="39"/>
        <v/>
      </c>
      <c r="T1214" s="97"/>
    </row>
    <row r="1215" spans="1:20" ht="18" customHeight="1">
      <c r="A1215" s="103"/>
      <c r="B1215" s="104"/>
      <c r="C1215" s="104"/>
      <c r="D1215" s="104"/>
      <c r="E1215" s="92"/>
      <c r="F1215" s="104"/>
      <c r="G1215" s="92"/>
      <c r="H1215" s="90">
        <v>21799</v>
      </c>
      <c r="I1215" s="80" t="s">
        <v>776</v>
      </c>
      <c r="J1215" s="143">
        <v>45850</v>
      </c>
      <c r="K1215" s="647">
        <v>39569</v>
      </c>
      <c r="L1215" s="87">
        <v>39569</v>
      </c>
      <c r="M1215" s="92">
        <f t="shared" si="38"/>
        <v>1</v>
      </c>
      <c r="N1215" s="104">
        <v>40973</v>
      </c>
      <c r="O1215" s="92">
        <f t="shared" si="39"/>
        <v>-3.4266468161960328E-2</v>
      </c>
      <c r="T1215" s="97"/>
    </row>
    <row r="1216" spans="1:20" ht="18" customHeight="1">
      <c r="A1216" s="103"/>
      <c r="B1216" s="104"/>
      <c r="C1216" s="104"/>
      <c r="D1216" s="104"/>
      <c r="E1216" s="92"/>
      <c r="F1216" s="104"/>
      <c r="G1216" s="92"/>
      <c r="H1216" s="90">
        <v>2179901</v>
      </c>
      <c r="I1216" s="90" t="s">
        <v>777</v>
      </c>
      <c r="J1216" s="143">
        <v>45850</v>
      </c>
      <c r="K1216" s="143"/>
      <c r="L1216" s="87">
        <v>39569</v>
      </c>
      <c r="M1216" s="92" t="str">
        <f t="shared" si="38"/>
        <v/>
      </c>
      <c r="N1216" s="104">
        <v>40973</v>
      </c>
      <c r="O1216" s="92">
        <f t="shared" si="39"/>
        <v>-3.4266468161960328E-2</v>
      </c>
      <c r="T1216" s="97"/>
    </row>
    <row r="1217" spans="1:21" s="112" customFormat="1" ht="18" customHeight="1">
      <c r="A1217" s="111"/>
      <c r="B1217" s="109"/>
      <c r="C1217" s="109"/>
      <c r="D1217" s="109"/>
      <c r="E1217" s="82"/>
      <c r="F1217" s="109"/>
      <c r="G1217" s="82"/>
      <c r="H1217" s="80">
        <v>219</v>
      </c>
      <c r="I1217" s="80" t="s">
        <v>778</v>
      </c>
      <c r="J1217" s="110">
        <v>178200</v>
      </c>
      <c r="K1217" s="656">
        <v>378370</v>
      </c>
      <c r="L1217" s="77">
        <v>378370</v>
      </c>
      <c r="M1217" s="82">
        <f t="shared" si="38"/>
        <v>1</v>
      </c>
      <c r="N1217" s="109">
        <v>134417</v>
      </c>
      <c r="O1217" s="92">
        <f t="shared" si="39"/>
        <v>1.8148969252401108</v>
      </c>
      <c r="P1217" s="84"/>
      <c r="T1217" s="96"/>
    </row>
    <row r="1218" spans="1:21" ht="18" customHeight="1">
      <c r="A1218" s="103"/>
      <c r="B1218" s="104"/>
      <c r="C1218" s="104"/>
      <c r="D1218" s="104"/>
      <c r="E1218" s="92"/>
      <c r="F1218" s="104"/>
      <c r="G1218" s="92"/>
      <c r="H1218" s="90">
        <v>21901</v>
      </c>
      <c r="I1218" s="80" t="s">
        <v>779</v>
      </c>
      <c r="J1218" s="143">
        <v>0</v>
      </c>
      <c r="K1218" s="143"/>
      <c r="L1218" s="87">
        <v>0</v>
      </c>
      <c r="M1218" s="92" t="str">
        <f t="shared" si="38"/>
        <v/>
      </c>
      <c r="N1218" s="104">
        <v>15996</v>
      </c>
      <c r="O1218" s="92">
        <f t="shared" si="39"/>
        <v>-1</v>
      </c>
      <c r="T1218" s="97"/>
    </row>
    <row r="1219" spans="1:21" ht="18" customHeight="1">
      <c r="A1219" s="103"/>
      <c r="B1219" s="104"/>
      <c r="C1219" s="104"/>
      <c r="D1219" s="104"/>
      <c r="E1219" s="92"/>
      <c r="F1219" s="104"/>
      <c r="G1219" s="92"/>
      <c r="H1219" s="90">
        <v>21902</v>
      </c>
      <c r="I1219" s="80" t="s">
        <v>780</v>
      </c>
      <c r="J1219" s="143">
        <v>0</v>
      </c>
      <c r="K1219" s="143"/>
      <c r="L1219" s="87">
        <v>0</v>
      </c>
      <c r="M1219" s="92" t="str">
        <f t="shared" si="38"/>
        <v/>
      </c>
      <c r="N1219" s="104">
        <v>49740</v>
      </c>
      <c r="O1219" s="92">
        <f t="shared" si="39"/>
        <v>-1</v>
      </c>
      <c r="T1219" s="97"/>
    </row>
    <row r="1220" spans="1:21" ht="18" customHeight="1">
      <c r="A1220" s="103"/>
      <c r="B1220" s="104"/>
      <c r="C1220" s="104"/>
      <c r="D1220" s="104"/>
      <c r="E1220" s="92"/>
      <c r="F1220" s="104"/>
      <c r="G1220" s="92"/>
      <c r="H1220" s="90">
        <v>21903</v>
      </c>
      <c r="I1220" s="80" t="s">
        <v>781</v>
      </c>
      <c r="J1220" s="143">
        <v>0</v>
      </c>
      <c r="K1220" s="143"/>
      <c r="L1220" s="87">
        <v>0</v>
      </c>
      <c r="M1220" s="92" t="str">
        <f t="shared" si="38"/>
        <v/>
      </c>
      <c r="N1220" s="104">
        <v>0</v>
      </c>
      <c r="O1220" s="92" t="str">
        <f t="shared" si="39"/>
        <v/>
      </c>
      <c r="T1220" s="97"/>
    </row>
    <row r="1221" spans="1:21" ht="18" customHeight="1">
      <c r="A1221" s="103"/>
      <c r="B1221" s="104"/>
      <c r="C1221" s="104"/>
      <c r="D1221" s="104"/>
      <c r="E1221" s="92"/>
      <c r="F1221" s="104"/>
      <c r="G1221" s="92"/>
      <c r="H1221" s="90">
        <v>21904</v>
      </c>
      <c r="I1221" s="80" t="s">
        <v>782</v>
      </c>
      <c r="J1221" s="143">
        <v>0</v>
      </c>
      <c r="K1221" s="143"/>
      <c r="L1221" s="87">
        <v>0</v>
      </c>
      <c r="M1221" s="92" t="str">
        <f t="shared" si="38"/>
        <v/>
      </c>
      <c r="N1221" s="104">
        <v>703</v>
      </c>
      <c r="O1221" s="92">
        <f t="shared" si="39"/>
        <v>-1</v>
      </c>
      <c r="T1221" s="97"/>
    </row>
    <row r="1222" spans="1:21" ht="18" customHeight="1">
      <c r="A1222" s="103"/>
      <c r="B1222" s="104"/>
      <c r="C1222" s="104"/>
      <c r="D1222" s="104"/>
      <c r="E1222" s="92"/>
      <c r="F1222" s="104"/>
      <c r="G1222" s="92"/>
      <c r="H1222" s="90">
        <v>21905</v>
      </c>
      <c r="I1222" s="80" t="s">
        <v>783</v>
      </c>
      <c r="J1222" s="143">
        <v>0</v>
      </c>
      <c r="K1222" s="143"/>
      <c r="L1222" s="87">
        <v>0</v>
      </c>
      <c r="M1222" s="92" t="str">
        <f t="shared" ref="M1222:M1285" si="40">+IF(ISERROR(L1222/K1222),"",L1222/K1222)</f>
        <v/>
      </c>
      <c r="N1222" s="104">
        <v>0</v>
      </c>
      <c r="O1222" s="92" t="str">
        <f t="shared" si="39"/>
        <v/>
      </c>
      <c r="T1222" s="97"/>
    </row>
    <row r="1223" spans="1:21" ht="18" customHeight="1">
      <c r="A1223" s="103"/>
      <c r="B1223" s="104"/>
      <c r="C1223" s="104"/>
      <c r="D1223" s="104"/>
      <c r="E1223" s="92"/>
      <c r="F1223" s="104"/>
      <c r="G1223" s="92"/>
      <c r="H1223" s="90">
        <v>21906</v>
      </c>
      <c r="I1223" s="80" t="s">
        <v>513</v>
      </c>
      <c r="J1223" s="143">
        <v>0</v>
      </c>
      <c r="K1223" s="143"/>
      <c r="L1223" s="87">
        <v>0</v>
      </c>
      <c r="M1223" s="92" t="str">
        <f t="shared" si="40"/>
        <v/>
      </c>
      <c r="N1223" s="104">
        <v>3890</v>
      </c>
      <c r="O1223" s="92">
        <f t="shared" ref="O1223:O1286" si="41">IF(ISERROR(L1223/N1223-1),"",(L1223/N1223-1))</f>
        <v>-1</v>
      </c>
      <c r="T1223" s="97"/>
    </row>
    <row r="1224" spans="1:21" ht="18" customHeight="1">
      <c r="A1224" s="103"/>
      <c r="B1224" s="104"/>
      <c r="C1224" s="104"/>
      <c r="D1224" s="104"/>
      <c r="E1224" s="92"/>
      <c r="F1224" s="104"/>
      <c r="G1224" s="92"/>
      <c r="H1224" s="90">
        <v>21907</v>
      </c>
      <c r="I1224" s="80" t="s">
        <v>784</v>
      </c>
      <c r="J1224" s="143">
        <v>0</v>
      </c>
      <c r="K1224" s="143"/>
      <c r="L1224" s="87">
        <v>0</v>
      </c>
      <c r="M1224" s="92" t="str">
        <f t="shared" si="40"/>
        <v/>
      </c>
      <c r="N1224" s="104">
        <v>2812</v>
      </c>
      <c r="O1224" s="92">
        <f t="shared" si="41"/>
        <v>-1</v>
      </c>
      <c r="T1224" s="97"/>
    </row>
    <row r="1225" spans="1:21" ht="18" customHeight="1">
      <c r="A1225" s="103"/>
      <c r="B1225" s="104"/>
      <c r="C1225" s="104"/>
      <c r="D1225" s="104"/>
      <c r="E1225" s="92"/>
      <c r="F1225" s="104"/>
      <c r="G1225" s="92"/>
      <c r="H1225" s="90">
        <v>21908</v>
      </c>
      <c r="I1225" s="80" t="s">
        <v>785</v>
      </c>
      <c r="J1225" s="143">
        <v>0</v>
      </c>
      <c r="K1225" s="143"/>
      <c r="L1225" s="87">
        <v>0</v>
      </c>
      <c r="M1225" s="92" t="str">
        <f t="shared" si="40"/>
        <v/>
      </c>
      <c r="N1225" s="104">
        <v>3890</v>
      </c>
      <c r="O1225" s="92">
        <f t="shared" si="41"/>
        <v>-1</v>
      </c>
      <c r="T1225" s="97"/>
    </row>
    <row r="1226" spans="1:21" ht="18" customHeight="1">
      <c r="A1226" s="103"/>
      <c r="B1226" s="104"/>
      <c r="C1226" s="104"/>
      <c r="D1226" s="104"/>
      <c r="E1226" s="92"/>
      <c r="F1226" s="104"/>
      <c r="G1226" s="92"/>
      <c r="H1226" s="90">
        <v>21999</v>
      </c>
      <c r="I1226" s="80" t="s">
        <v>786</v>
      </c>
      <c r="J1226" s="143">
        <v>178200</v>
      </c>
      <c r="K1226" s="647">
        <v>378370</v>
      </c>
      <c r="L1226" s="87">
        <v>378370</v>
      </c>
      <c r="M1226" s="92">
        <f t="shared" si="40"/>
        <v>1</v>
      </c>
      <c r="N1226" s="104">
        <v>57386</v>
      </c>
      <c r="O1226" s="92">
        <f t="shared" si="41"/>
        <v>5.5934199979088977</v>
      </c>
      <c r="T1226" s="97"/>
    </row>
    <row r="1227" spans="1:21" s="112" customFormat="1" ht="18" customHeight="1">
      <c r="A1227" s="111"/>
      <c r="B1227" s="109"/>
      <c r="C1227" s="109"/>
      <c r="D1227" s="109"/>
      <c r="E1227" s="82"/>
      <c r="F1227" s="109"/>
      <c r="G1227" s="82"/>
      <c r="H1227" s="80">
        <v>220</v>
      </c>
      <c r="I1227" s="80" t="s">
        <v>787</v>
      </c>
      <c r="J1227" s="110">
        <v>88425</v>
      </c>
      <c r="K1227" s="656">
        <v>290411</v>
      </c>
      <c r="L1227" s="77">
        <v>289669</v>
      </c>
      <c r="M1227" s="82">
        <f t="shared" si="40"/>
        <v>0.99744500036155659</v>
      </c>
      <c r="N1227" s="109">
        <v>51266</v>
      </c>
      <c r="O1227" s="82">
        <f t="shared" si="41"/>
        <v>4.6503140482971173</v>
      </c>
      <c r="P1227" s="84" t="s">
        <v>778</v>
      </c>
      <c r="Q1227" s="112">
        <v>83000</v>
      </c>
      <c r="R1227" s="112">
        <v>134417</v>
      </c>
      <c r="S1227" s="112">
        <v>134417</v>
      </c>
      <c r="T1227" s="96"/>
    </row>
    <row r="1228" spans="1:21" ht="18" customHeight="1">
      <c r="A1228" s="103"/>
      <c r="B1228" s="104"/>
      <c r="C1228" s="104"/>
      <c r="D1228" s="104"/>
      <c r="E1228" s="92"/>
      <c r="F1228" s="104"/>
      <c r="G1228" s="92"/>
      <c r="H1228" s="90">
        <v>22001</v>
      </c>
      <c r="I1228" s="80" t="s">
        <v>788</v>
      </c>
      <c r="J1228" s="143">
        <v>38371</v>
      </c>
      <c r="K1228" s="647">
        <v>215784</v>
      </c>
      <c r="L1228" s="87">
        <v>215784</v>
      </c>
      <c r="M1228" s="92">
        <f t="shared" si="40"/>
        <v>1</v>
      </c>
      <c r="N1228" s="104">
        <v>36858</v>
      </c>
      <c r="O1228" s="92">
        <f t="shared" si="41"/>
        <v>4.8544685007325414</v>
      </c>
      <c r="P1228" s="75" t="s">
        <v>779</v>
      </c>
      <c r="Q1228" s="63">
        <v>0</v>
      </c>
      <c r="R1228" s="63">
        <v>15996</v>
      </c>
      <c r="S1228" s="63">
        <v>15996</v>
      </c>
      <c r="T1228" s="96" t="s">
        <v>1091</v>
      </c>
      <c r="U1228" s="63">
        <v>71256</v>
      </c>
    </row>
    <row r="1229" spans="1:21" ht="18" customHeight="1">
      <c r="A1229" s="103"/>
      <c r="B1229" s="104"/>
      <c r="C1229" s="104"/>
      <c r="D1229" s="104"/>
      <c r="E1229" s="92"/>
      <c r="F1229" s="104"/>
      <c r="G1229" s="92"/>
      <c r="H1229" s="90">
        <v>2200101</v>
      </c>
      <c r="I1229" s="90" t="s">
        <v>1110</v>
      </c>
      <c r="J1229" s="143">
        <v>23179</v>
      </c>
      <c r="K1229" s="143"/>
      <c r="L1229" s="87">
        <v>25467</v>
      </c>
      <c r="M1229" s="92" t="str">
        <f t="shared" si="40"/>
        <v/>
      </c>
      <c r="N1229" s="104">
        <v>22013</v>
      </c>
      <c r="O1229" s="92">
        <f t="shared" si="41"/>
        <v>0.15690728206060056</v>
      </c>
      <c r="P1229" s="75" t="s">
        <v>780</v>
      </c>
      <c r="Q1229" s="63">
        <v>0</v>
      </c>
      <c r="R1229" s="63">
        <v>49740</v>
      </c>
      <c r="S1229" s="63">
        <v>49740</v>
      </c>
      <c r="T1229" s="97" t="s">
        <v>788</v>
      </c>
      <c r="U1229" s="63">
        <v>46439</v>
      </c>
    </row>
    <row r="1230" spans="1:21" ht="18" customHeight="1">
      <c r="A1230" s="103"/>
      <c r="B1230" s="104"/>
      <c r="C1230" s="104"/>
      <c r="D1230" s="104"/>
      <c r="E1230" s="92"/>
      <c r="F1230" s="104"/>
      <c r="G1230" s="92"/>
      <c r="H1230" s="90">
        <v>2200102</v>
      </c>
      <c r="I1230" s="90" t="s">
        <v>1111</v>
      </c>
      <c r="J1230" s="143">
        <v>1752</v>
      </c>
      <c r="K1230" s="143"/>
      <c r="L1230" s="87">
        <v>746</v>
      </c>
      <c r="M1230" s="92" t="str">
        <f t="shared" si="40"/>
        <v/>
      </c>
      <c r="N1230" s="104">
        <v>531</v>
      </c>
      <c r="O1230" s="92">
        <f t="shared" si="41"/>
        <v>0.40489642184557439</v>
      </c>
      <c r="P1230" s="75" t="s">
        <v>781</v>
      </c>
      <c r="Q1230" s="63">
        <v>0</v>
      </c>
      <c r="R1230" s="63">
        <v>0</v>
      </c>
      <c r="S1230" s="63">
        <v>0</v>
      </c>
      <c r="T1230" s="119" t="s">
        <v>1045</v>
      </c>
      <c r="U1230" s="63">
        <v>0</v>
      </c>
    </row>
    <row r="1231" spans="1:21" ht="18" customHeight="1">
      <c r="A1231" s="103"/>
      <c r="B1231" s="104"/>
      <c r="C1231" s="104"/>
      <c r="D1231" s="104"/>
      <c r="E1231" s="92"/>
      <c r="F1231" s="104"/>
      <c r="G1231" s="92"/>
      <c r="H1231" s="90">
        <v>2200103</v>
      </c>
      <c r="I1231" s="90" t="s">
        <v>1112</v>
      </c>
      <c r="J1231" s="143">
        <v>0</v>
      </c>
      <c r="K1231" s="143"/>
      <c r="L1231" s="87">
        <v>0</v>
      </c>
      <c r="M1231" s="92" t="str">
        <f t="shared" si="40"/>
        <v/>
      </c>
      <c r="N1231" s="104">
        <v>0</v>
      </c>
      <c r="O1231" s="92" t="str">
        <f t="shared" si="41"/>
        <v/>
      </c>
      <c r="P1231" s="75" t="s">
        <v>782</v>
      </c>
      <c r="Q1231" s="63">
        <v>0</v>
      </c>
      <c r="R1231" s="63">
        <v>703</v>
      </c>
      <c r="S1231" s="63">
        <v>703</v>
      </c>
      <c r="T1231" s="97" t="s">
        <v>805</v>
      </c>
      <c r="U1231" s="63">
        <v>13609</v>
      </c>
    </row>
    <row r="1232" spans="1:21" ht="18" customHeight="1">
      <c r="A1232" s="103"/>
      <c r="B1232" s="104"/>
      <c r="C1232" s="104"/>
      <c r="D1232" s="104"/>
      <c r="E1232" s="92"/>
      <c r="F1232" s="104"/>
      <c r="G1232" s="92"/>
      <c r="H1232" s="90">
        <v>2200104</v>
      </c>
      <c r="I1232" s="90" t="s">
        <v>789</v>
      </c>
      <c r="J1232" s="143">
        <v>755</v>
      </c>
      <c r="K1232" s="143"/>
      <c r="L1232" s="87">
        <v>793</v>
      </c>
      <c r="M1232" s="92" t="str">
        <f t="shared" si="40"/>
        <v/>
      </c>
      <c r="N1232" s="104">
        <v>771</v>
      </c>
      <c r="O1232" s="92">
        <f t="shared" si="41"/>
        <v>2.8534370946822207E-2</v>
      </c>
      <c r="P1232" s="75" t="s">
        <v>783</v>
      </c>
      <c r="Q1232" s="63">
        <v>0</v>
      </c>
      <c r="R1232" s="63">
        <v>0</v>
      </c>
      <c r="S1232" s="63">
        <v>0</v>
      </c>
      <c r="T1232" s="97" t="s">
        <v>1046</v>
      </c>
      <c r="U1232" s="63">
        <v>9906</v>
      </c>
    </row>
    <row r="1233" spans="1:21" ht="18" customHeight="1">
      <c r="A1233" s="103"/>
      <c r="B1233" s="104"/>
      <c r="C1233" s="104"/>
      <c r="D1233" s="104"/>
      <c r="E1233" s="92"/>
      <c r="F1233" s="104"/>
      <c r="G1233" s="92"/>
      <c r="H1233" s="90">
        <v>2200105</v>
      </c>
      <c r="I1233" s="90" t="s">
        <v>790</v>
      </c>
      <c r="J1233" s="143">
        <v>1400</v>
      </c>
      <c r="K1233" s="143"/>
      <c r="L1233" s="87">
        <v>1133</v>
      </c>
      <c r="M1233" s="92" t="str">
        <f t="shared" si="40"/>
        <v/>
      </c>
      <c r="N1233" s="104">
        <v>1631</v>
      </c>
      <c r="O1233" s="92">
        <f t="shared" si="41"/>
        <v>-0.30533415082771309</v>
      </c>
      <c r="P1233" s="75" t="s">
        <v>513</v>
      </c>
      <c r="Q1233" s="63">
        <v>0</v>
      </c>
      <c r="R1233" s="63">
        <v>3890</v>
      </c>
      <c r="S1233" s="63">
        <v>3890</v>
      </c>
      <c r="T1233" s="97" t="s">
        <v>821</v>
      </c>
      <c r="U1233" s="63">
        <v>0</v>
      </c>
    </row>
    <row r="1234" spans="1:21" ht="18" customHeight="1">
      <c r="A1234" s="103"/>
      <c r="B1234" s="104"/>
      <c r="C1234" s="104"/>
      <c r="D1234" s="104"/>
      <c r="E1234" s="92"/>
      <c r="F1234" s="104"/>
      <c r="G1234" s="92"/>
      <c r="H1234" s="90">
        <v>2200106</v>
      </c>
      <c r="I1234" s="90" t="s">
        <v>791</v>
      </c>
      <c r="J1234" s="143">
        <v>1278</v>
      </c>
      <c r="K1234" s="143"/>
      <c r="L1234" s="87">
        <v>1292</v>
      </c>
      <c r="M1234" s="92" t="str">
        <f t="shared" si="40"/>
        <v/>
      </c>
      <c r="N1234" s="104">
        <v>1239</v>
      </c>
      <c r="O1234" s="92">
        <f t="shared" si="41"/>
        <v>4.2776432606941084E-2</v>
      </c>
      <c r="P1234" s="75" t="s">
        <v>784</v>
      </c>
      <c r="Q1234" s="63">
        <v>0</v>
      </c>
      <c r="R1234" s="63">
        <v>2812</v>
      </c>
      <c r="S1234" s="63">
        <v>2812</v>
      </c>
      <c r="T1234" s="97" t="s">
        <v>826</v>
      </c>
      <c r="U1234" s="63">
        <v>115</v>
      </c>
    </row>
    <row r="1235" spans="1:21" ht="18" customHeight="1">
      <c r="A1235" s="103"/>
      <c r="B1235" s="104"/>
      <c r="C1235" s="104"/>
      <c r="D1235" s="104"/>
      <c r="E1235" s="92"/>
      <c r="F1235" s="104"/>
      <c r="G1235" s="92"/>
      <c r="H1235" s="90">
        <v>2200107</v>
      </c>
      <c r="I1235" s="90" t="s">
        <v>792</v>
      </c>
      <c r="J1235" s="143">
        <v>0</v>
      </c>
      <c r="K1235" s="143"/>
      <c r="L1235" s="87">
        <v>0</v>
      </c>
      <c r="M1235" s="92" t="str">
        <f t="shared" si="40"/>
        <v/>
      </c>
      <c r="N1235" s="104">
        <v>0</v>
      </c>
      <c r="O1235" s="92" t="str">
        <f t="shared" si="41"/>
        <v/>
      </c>
      <c r="P1235" s="75" t="s">
        <v>785</v>
      </c>
      <c r="Q1235" s="63">
        <v>0</v>
      </c>
      <c r="R1235" s="63">
        <v>3890</v>
      </c>
      <c r="S1235" s="63">
        <v>3890</v>
      </c>
      <c r="T1235" s="97" t="s">
        <v>836</v>
      </c>
      <c r="U1235" s="63">
        <v>10093</v>
      </c>
    </row>
    <row r="1236" spans="1:21" ht="18" customHeight="1">
      <c r="A1236" s="103"/>
      <c r="B1236" s="104"/>
      <c r="C1236" s="104"/>
      <c r="D1236" s="104"/>
      <c r="E1236" s="92"/>
      <c r="F1236" s="104"/>
      <c r="G1236" s="92"/>
      <c r="H1236" s="90">
        <v>2200108</v>
      </c>
      <c r="I1236" s="90" t="s">
        <v>793</v>
      </c>
      <c r="J1236" s="143">
        <v>75</v>
      </c>
      <c r="K1236" s="143"/>
      <c r="L1236" s="87">
        <v>74</v>
      </c>
      <c r="M1236" s="92" t="str">
        <f t="shared" si="40"/>
        <v/>
      </c>
      <c r="N1236" s="104">
        <v>80</v>
      </c>
      <c r="O1236" s="92">
        <f t="shared" si="41"/>
        <v>-7.4999999999999956E-2</v>
      </c>
      <c r="P1236" s="75" t="s">
        <v>786</v>
      </c>
      <c r="Q1236" s="63">
        <v>83000</v>
      </c>
      <c r="R1236" s="63">
        <v>57386</v>
      </c>
      <c r="S1236" s="63">
        <v>57386</v>
      </c>
      <c r="T1236" s="97" t="s">
        <v>1092</v>
      </c>
      <c r="U1236" s="63">
        <v>1000</v>
      </c>
    </row>
    <row r="1237" spans="1:21" ht="18" customHeight="1">
      <c r="A1237" s="103"/>
      <c r="B1237" s="104"/>
      <c r="C1237" s="104"/>
      <c r="D1237" s="104"/>
      <c r="E1237" s="92"/>
      <c r="F1237" s="104"/>
      <c r="G1237" s="92"/>
      <c r="H1237" s="90">
        <v>2200109</v>
      </c>
      <c r="I1237" s="90" t="s">
        <v>794</v>
      </c>
      <c r="J1237" s="143">
        <v>52</v>
      </c>
      <c r="K1237" s="143"/>
      <c r="L1237" s="87">
        <v>48</v>
      </c>
      <c r="M1237" s="92" t="str">
        <f t="shared" si="40"/>
        <v/>
      </c>
      <c r="N1237" s="104">
        <v>122</v>
      </c>
      <c r="O1237" s="92">
        <f t="shared" si="41"/>
        <v>-0.60655737704918034</v>
      </c>
      <c r="P1237" s="75" t="s">
        <v>787</v>
      </c>
      <c r="Q1237" s="63">
        <v>54588</v>
      </c>
      <c r="R1237" s="63">
        <v>54307</v>
      </c>
      <c r="S1237" s="63">
        <v>51266</v>
      </c>
      <c r="T1237" s="96" t="s">
        <v>850</v>
      </c>
      <c r="U1237" s="63">
        <v>210455</v>
      </c>
    </row>
    <row r="1238" spans="1:21" ht="18" customHeight="1">
      <c r="A1238" s="103"/>
      <c r="B1238" s="104"/>
      <c r="C1238" s="104"/>
      <c r="D1238" s="104"/>
      <c r="E1238" s="92"/>
      <c r="F1238" s="104"/>
      <c r="G1238" s="92"/>
      <c r="H1238" s="90">
        <v>2200110</v>
      </c>
      <c r="I1238" s="90" t="s">
        <v>795</v>
      </c>
      <c r="J1238" s="143">
        <v>0</v>
      </c>
      <c r="K1238" s="143"/>
      <c r="L1238" s="87">
        <v>0</v>
      </c>
      <c r="M1238" s="92" t="str">
        <f t="shared" si="40"/>
        <v/>
      </c>
      <c r="N1238" s="104">
        <v>0</v>
      </c>
      <c r="O1238" s="92" t="str">
        <f t="shared" si="41"/>
        <v/>
      </c>
      <c r="P1238" s="75" t="s">
        <v>788</v>
      </c>
      <c r="Q1238" s="63">
        <v>35839</v>
      </c>
      <c r="R1238" s="63">
        <v>37588</v>
      </c>
      <c r="S1238" s="63">
        <v>36858</v>
      </c>
      <c r="T1238" s="97" t="s">
        <v>851</v>
      </c>
      <c r="U1238" s="63">
        <v>74875</v>
      </c>
    </row>
    <row r="1239" spans="1:21" ht="18" customHeight="1">
      <c r="A1239" s="103"/>
      <c r="B1239" s="104"/>
      <c r="C1239" s="104"/>
      <c r="D1239" s="104"/>
      <c r="E1239" s="92"/>
      <c r="F1239" s="104"/>
      <c r="G1239" s="92"/>
      <c r="H1239" s="90">
        <v>2200111</v>
      </c>
      <c r="I1239" s="90" t="s">
        <v>796</v>
      </c>
      <c r="J1239" s="143">
        <v>1198</v>
      </c>
      <c r="K1239" s="143"/>
      <c r="L1239" s="87">
        <v>1524</v>
      </c>
      <c r="M1239" s="92" t="str">
        <f t="shared" si="40"/>
        <v/>
      </c>
      <c r="N1239" s="104">
        <v>373</v>
      </c>
      <c r="O1239" s="92">
        <f t="shared" si="41"/>
        <v>3.0857908847184987</v>
      </c>
      <c r="P1239" s="75" t="s">
        <v>1045</v>
      </c>
      <c r="Q1239" s="63">
        <v>0</v>
      </c>
      <c r="R1239" s="63">
        <v>0</v>
      </c>
      <c r="S1239" s="63">
        <v>0</v>
      </c>
      <c r="T1239" s="97" t="s">
        <v>860</v>
      </c>
      <c r="U1239" s="63">
        <v>129381</v>
      </c>
    </row>
    <row r="1240" spans="1:21" ht="18" customHeight="1">
      <c r="A1240" s="103"/>
      <c r="B1240" s="104"/>
      <c r="C1240" s="104"/>
      <c r="D1240" s="104"/>
      <c r="E1240" s="92"/>
      <c r="F1240" s="104"/>
      <c r="G1240" s="92"/>
      <c r="H1240" s="90">
        <v>2200112</v>
      </c>
      <c r="I1240" s="90" t="s">
        <v>797</v>
      </c>
      <c r="J1240" s="143">
        <v>661</v>
      </c>
      <c r="K1240" s="143"/>
      <c r="L1240" s="87">
        <v>574</v>
      </c>
      <c r="M1240" s="92" t="str">
        <f t="shared" si="40"/>
        <v/>
      </c>
      <c r="N1240" s="104">
        <v>713</v>
      </c>
      <c r="O1240" s="92">
        <f t="shared" si="41"/>
        <v>-0.19495091164095368</v>
      </c>
      <c r="P1240" s="75" t="s">
        <v>805</v>
      </c>
      <c r="Q1240" s="63">
        <v>8859</v>
      </c>
      <c r="R1240" s="63">
        <v>7785</v>
      </c>
      <c r="S1240" s="63">
        <v>5474</v>
      </c>
      <c r="T1240" s="97" t="s">
        <v>864</v>
      </c>
      <c r="U1240" s="63">
        <v>6199</v>
      </c>
    </row>
    <row r="1241" spans="1:21" ht="18" customHeight="1">
      <c r="A1241" s="103"/>
      <c r="B1241" s="104"/>
      <c r="C1241" s="104"/>
      <c r="D1241" s="104"/>
      <c r="E1241" s="92"/>
      <c r="F1241" s="104"/>
      <c r="G1241" s="92"/>
      <c r="H1241" s="90">
        <v>2200113</v>
      </c>
      <c r="I1241" s="90" t="s">
        <v>798</v>
      </c>
      <c r="J1241" s="143">
        <v>101</v>
      </c>
      <c r="K1241" s="143"/>
      <c r="L1241" s="87">
        <v>80</v>
      </c>
      <c r="M1241" s="92" t="str">
        <f t="shared" si="40"/>
        <v/>
      </c>
      <c r="N1241" s="104">
        <v>31</v>
      </c>
      <c r="O1241" s="92">
        <f t="shared" si="41"/>
        <v>1.5806451612903225</v>
      </c>
      <c r="P1241" s="75" t="s">
        <v>1046</v>
      </c>
      <c r="Q1241" s="63">
        <v>5000</v>
      </c>
      <c r="R1241" s="63">
        <v>1488</v>
      </c>
      <c r="S1241" s="63">
        <v>1488</v>
      </c>
      <c r="T1241" s="96" t="s">
        <v>1093</v>
      </c>
      <c r="U1241" s="63">
        <v>28597</v>
      </c>
    </row>
    <row r="1242" spans="1:21" ht="18" customHeight="1">
      <c r="A1242" s="103"/>
      <c r="B1242" s="104"/>
      <c r="C1242" s="104"/>
      <c r="D1242" s="104"/>
      <c r="E1242" s="92"/>
      <c r="F1242" s="104"/>
      <c r="G1242" s="92"/>
      <c r="H1242" s="90">
        <v>2200114</v>
      </c>
      <c r="I1242" s="90" t="s">
        <v>799</v>
      </c>
      <c r="J1242" s="143">
        <v>656</v>
      </c>
      <c r="K1242" s="143"/>
      <c r="L1242" s="87">
        <v>550</v>
      </c>
      <c r="M1242" s="92" t="str">
        <f t="shared" si="40"/>
        <v/>
      </c>
      <c r="N1242" s="104">
        <v>581</v>
      </c>
      <c r="O1242" s="92">
        <f t="shared" si="41"/>
        <v>-5.3356282271944888E-2</v>
      </c>
      <c r="P1242" s="75" t="s">
        <v>821</v>
      </c>
      <c r="Q1242" s="63">
        <v>0</v>
      </c>
      <c r="R1242" s="63">
        <v>0</v>
      </c>
      <c r="S1242" s="63">
        <v>0</v>
      </c>
      <c r="T1242" s="97" t="s">
        <v>868</v>
      </c>
      <c r="U1242" s="63">
        <v>26252</v>
      </c>
    </row>
    <row r="1243" spans="1:21" ht="18" customHeight="1">
      <c r="A1243" s="103"/>
      <c r="B1243" s="104"/>
      <c r="C1243" s="104"/>
      <c r="D1243" s="104"/>
      <c r="E1243" s="92"/>
      <c r="F1243" s="104"/>
      <c r="G1243" s="92"/>
      <c r="H1243" s="90">
        <v>2200115</v>
      </c>
      <c r="I1243" s="90" t="s">
        <v>800</v>
      </c>
      <c r="J1243" s="143">
        <v>0</v>
      </c>
      <c r="K1243" s="143"/>
      <c r="L1243" s="87">
        <v>0</v>
      </c>
      <c r="M1243" s="92" t="str">
        <f t="shared" si="40"/>
        <v/>
      </c>
      <c r="N1243" s="104">
        <v>0</v>
      </c>
      <c r="O1243" s="92" t="str">
        <f t="shared" si="41"/>
        <v/>
      </c>
      <c r="P1243" s="75" t="s">
        <v>826</v>
      </c>
      <c r="Q1243" s="63">
        <v>502</v>
      </c>
      <c r="R1243" s="63">
        <v>172</v>
      </c>
      <c r="S1243" s="63">
        <v>172</v>
      </c>
      <c r="T1243" s="97" t="s">
        <v>879</v>
      </c>
      <c r="U1243" s="63">
        <v>2002</v>
      </c>
    </row>
    <row r="1244" spans="1:21" ht="18" customHeight="1">
      <c r="A1244" s="103"/>
      <c r="B1244" s="104"/>
      <c r="C1244" s="104"/>
      <c r="D1244" s="104"/>
      <c r="E1244" s="92"/>
      <c r="F1244" s="104"/>
      <c r="G1244" s="92"/>
      <c r="H1244" s="90">
        <v>2200116</v>
      </c>
      <c r="I1244" s="90" t="s">
        <v>801</v>
      </c>
      <c r="J1244" s="143">
        <v>0</v>
      </c>
      <c r="K1244" s="143"/>
      <c r="L1244" s="87">
        <v>0</v>
      </c>
      <c r="M1244" s="92" t="str">
        <f t="shared" si="40"/>
        <v/>
      </c>
      <c r="N1244" s="104">
        <v>0</v>
      </c>
      <c r="O1244" s="92" t="str">
        <f t="shared" si="41"/>
        <v/>
      </c>
      <c r="P1244" s="75" t="s">
        <v>836</v>
      </c>
      <c r="Q1244" s="63">
        <v>8388</v>
      </c>
      <c r="R1244" s="63">
        <v>8762</v>
      </c>
      <c r="S1244" s="63">
        <v>8762</v>
      </c>
      <c r="T1244" s="97" t="s">
        <v>889</v>
      </c>
      <c r="U1244" s="63">
        <v>0</v>
      </c>
    </row>
    <row r="1245" spans="1:21" ht="18" customHeight="1">
      <c r="A1245" s="103"/>
      <c r="B1245" s="104"/>
      <c r="C1245" s="104"/>
      <c r="D1245" s="104"/>
      <c r="E1245" s="92"/>
      <c r="F1245" s="104"/>
      <c r="G1245" s="92"/>
      <c r="H1245" s="90">
        <v>2200119</v>
      </c>
      <c r="I1245" s="90" t="s">
        <v>802</v>
      </c>
      <c r="J1245" s="143">
        <v>0</v>
      </c>
      <c r="K1245" s="143"/>
      <c r="L1245" s="87">
        <v>0</v>
      </c>
      <c r="M1245" s="92" t="str">
        <f t="shared" si="40"/>
        <v/>
      </c>
      <c r="N1245" s="104">
        <v>0</v>
      </c>
      <c r="O1245" s="92" t="str">
        <f t="shared" si="41"/>
        <v/>
      </c>
      <c r="P1245" s="75" t="s">
        <v>849</v>
      </c>
      <c r="Q1245" s="63">
        <v>1000</v>
      </c>
      <c r="R1245" s="63">
        <v>0</v>
      </c>
      <c r="S1245" s="63">
        <v>0</v>
      </c>
      <c r="T1245" s="97" t="s">
        <v>895</v>
      </c>
      <c r="U1245" s="63">
        <v>0</v>
      </c>
    </row>
    <row r="1246" spans="1:21" ht="18" customHeight="1">
      <c r="A1246" s="103"/>
      <c r="B1246" s="104"/>
      <c r="C1246" s="104"/>
      <c r="D1246" s="104"/>
      <c r="E1246" s="92"/>
      <c r="F1246" s="104"/>
      <c r="G1246" s="92"/>
      <c r="H1246" s="90">
        <v>2200120</v>
      </c>
      <c r="I1246" s="90" t="s">
        <v>803</v>
      </c>
      <c r="J1246" s="143">
        <v>0</v>
      </c>
      <c r="K1246" s="143"/>
      <c r="L1246" s="87">
        <v>0</v>
      </c>
      <c r="M1246" s="92" t="str">
        <f t="shared" si="40"/>
        <v/>
      </c>
      <c r="N1246" s="104">
        <v>0</v>
      </c>
      <c r="O1246" s="92" t="str">
        <f t="shared" si="41"/>
        <v/>
      </c>
      <c r="P1246" s="75" t="s">
        <v>850</v>
      </c>
      <c r="Q1246" s="63">
        <v>256112</v>
      </c>
      <c r="R1246" s="63">
        <v>402812</v>
      </c>
      <c r="S1246" s="63">
        <v>402649</v>
      </c>
      <c r="T1246" s="97" t="s">
        <v>901</v>
      </c>
      <c r="U1246" s="63">
        <v>343</v>
      </c>
    </row>
    <row r="1247" spans="1:21" ht="18" customHeight="1">
      <c r="A1247" s="103"/>
      <c r="B1247" s="104"/>
      <c r="C1247" s="104"/>
      <c r="D1247" s="104"/>
      <c r="E1247" s="92"/>
      <c r="F1247" s="104"/>
      <c r="G1247" s="92"/>
      <c r="H1247" s="90">
        <v>2200150</v>
      </c>
      <c r="I1247" s="90" t="s">
        <v>1119</v>
      </c>
      <c r="J1247" s="143">
        <v>616</v>
      </c>
      <c r="K1247" s="143"/>
      <c r="L1247" s="87">
        <v>389</v>
      </c>
      <c r="M1247" s="92" t="str">
        <f t="shared" si="40"/>
        <v/>
      </c>
      <c r="N1247" s="104">
        <v>0</v>
      </c>
      <c r="O1247" s="92" t="str">
        <f t="shared" si="41"/>
        <v/>
      </c>
      <c r="P1247" s="75" t="s">
        <v>851</v>
      </c>
      <c r="Q1247" s="63">
        <v>59339</v>
      </c>
      <c r="R1247" s="63">
        <v>262349</v>
      </c>
      <c r="S1247" s="63">
        <v>262349</v>
      </c>
      <c r="T1247" s="96" t="s">
        <v>1047</v>
      </c>
      <c r="U1247" s="63">
        <v>0</v>
      </c>
    </row>
    <row r="1248" spans="1:21" ht="18" customHeight="1">
      <c r="A1248" s="103"/>
      <c r="B1248" s="104"/>
      <c r="C1248" s="104"/>
      <c r="D1248" s="104"/>
      <c r="E1248" s="92"/>
      <c r="F1248" s="104"/>
      <c r="G1248" s="92"/>
      <c r="H1248" s="90">
        <v>2200199</v>
      </c>
      <c r="I1248" s="90" t="s">
        <v>804</v>
      </c>
      <c r="J1248" s="143">
        <v>6648</v>
      </c>
      <c r="K1248" s="143"/>
      <c r="L1248" s="87">
        <v>183114</v>
      </c>
      <c r="M1248" s="92" t="str">
        <f t="shared" si="40"/>
        <v/>
      </c>
      <c r="N1248" s="104">
        <v>8773</v>
      </c>
      <c r="O1248" s="92">
        <f t="shared" si="41"/>
        <v>19.872449561153541</v>
      </c>
      <c r="P1248" s="75" t="s">
        <v>860</v>
      </c>
      <c r="Q1248" s="63">
        <v>190722</v>
      </c>
      <c r="R1248" s="63">
        <v>135054</v>
      </c>
      <c r="S1248" s="63">
        <v>134891</v>
      </c>
      <c r="T1248" s="96" t="s">
        <v>913</v>
      </c>
      <c r="U1248" s="63">
        <v>430000</v>
      </c>
    </row>
    <row r="1249" spans="1:21" ht="18" customHeight="1">
      <c r="A1249" s="103"/>
      <c r="B1249" s="104"/>
      <c r="C1249" s="104"/>
      <c r="D1249" s="104"/>
      <c r="E1249" s="92"/>
      <c r="F1249" s="104"/>
      <c r="G1249" s="92"/>
      <c r="H1249" s="90">
        <v>22002</v>
      </c>
      <c r="I1249" s="80" t="s">
        <v>805</v>
      </c>
      <c r="J1249" s="108">
        <v>16956</v>
      </c>
      <c r="K1249" s="647">
        <v>58548</v>
      </c>
      <c r="L1249" s="87">
        <v>57806</v>
      </c>
      <c r="M1249" s="92">
        <f t="shared" si="40"/>
        <v>0.98732663797226206</v>
      </c>
      <c r="N1249" s="104">
        <v>5474</v>
      </c>
      <c r="O1249" s="92">
        <f t="shared" si="41"/>
        <v>9.5601023017902822</v>
      </c>
      <c r="P1249" s="75" t="s">
        <v>864</v>
      </c>
      <c r="Q1249" s="63">
        <v>6051</v>
      </c>
      <c r="R1249" s="63">
        <v>5409</v>
      </c>
      <c r="S1249" s="63">
        <v>5409</v>
      </c>
      <c r="T1249" s="97" t="s">
        <v>914</v>
      </c>
      <c r="U1249" s="63">
        <v>1319</v>
      </c>
    </row>
    <row r="1250" spans="1:21" ht="18" customHeight="1">
      <c r="A1250" s="103"/>
      <c r="B1250" s="104"/>
      <c r="C1250" s="104"/>
      <c r="D1250" s="104"/>
      <c r="E1250" s="92"/>
      <c r="F1250" s="104"/>
      <c r="G1250" s="92"/>
      <c r="H1250" s="90">
        <v>2200201</v>
      </c>
      <c r="I1250" s="90" t="s">
        <v>1110</v>
      </c>
      <c r="J1250" s="143">
        <v>1252</v>
      </c>
      <c r="K1250" s="143"/>
      <c r="L1250" s="87">
        <v>1466</v>
      </c>
      <c r="M1250" s="92" t="str">
        <f t="shared" si="40"/>
        <v/>
      </c>
      <c r="N1250" s="104">
        <v>1329</v>
      </c>
      <c r="O1250" s="92">
        <f t="shared" si="41"/>
        <v>0.10308502633559069</v>
      </c>
      <c r="P1250" s="75" t="s">
        <v>867</v>
      </c>
      <c r="Q1250" s="63">
        <v>31000</v>
      </c>
      <c r="R1250" s="63">
        <v>24641</v>
      </c>
      <c r="S1250" s="63">
        <v>24310</v>
      </c>
      <c r="T1250" s="97" t="s">
        <v>915</v>
      </c>
      <c r="U1250" s="63">
        <v>0</v>
      </c>
    </row>
    <row r="1251" spans="1:21" ht="18" customHeight="1">
      <c r="A1251" s="103"/>
      <c r="B1251" s="104"/>
      <c r="C1251" s="104"/>
      <c r="D1251" s="104"/>
      <c r="E1251" s="92"/>
      <c r="F1251" s="104"/>
      <c r="G1251" s="92"/>
      <c r="H1251" s="90">
        <v>2200202</v>
      </c>
      <c r="I1251" s="90" t="s">
        <v>1111</v>
      </c>
      <c r="J1251" s="143">
        <v>0</v>
      </c>
      <c r="K1251" s="143"/>
      <c r="L1251" s="87">
        <v>0</v>
      </c>
      <c r="M1251" s="92" t="str">
        <f t="shared" si="40"/>
        <v/>
      </c>
      <c r="N1251" s="104">
        <v>0</v>
      </c>
      <c r="O1251" s="92" t="str">
        <f t="shared" si="41"/>
        <v/>
      </c>
      <c r="P1251" s="75" t="s">
        <v>868</v>
      </c>
      <c r="Q1251" s="63">
        <v>0</v>
      </c>
      <c r="R1251" s="63">
        <v>22800</v>
      </c>
      <c r="S1251" s="63">
        <v>22800</v>
      </c>
      <c r="T1251" s="97" t="s">
        <v>916</v>
      </c>
      <c r="U1251" s="63">
        <v>0</v>
      </c>
    </row>
    <row r="1252" spans="1:21" ht="18" customHeight="1">
      <c r="A1252" s="103"/>
      <c r="B1252" s="104"/>
      <c r="C1252" s="104"/>
      <c r="D1252" s="104"/>
      <c r="E1252" s="92"/>
      <c r="F1252" s="104"/>
      <c r="G1252" s="92"/>
      <c r="H1252" s="90">
        <v>2200203</v>
      </c>
      <c r="I1252" s="90" t="s">
        <v>1112</v>
      </c>
      <c r="J1252" s="143">
        <v>0</v>
      </c>
      <c r="K1252" s="143"/>
      <c r="L1252" s="87">
        <v>0</v>
      </c>
      <c r="M1252" s="92" t="str">
        <f t="shared" si="40"/>
        <v/>
      </c>
      <c r="N1252" s="104">
        <v>0</v>
      </c>
      <c r="O1252" s="92" t="str">
        <f t="shared" si="41"/>
        <v/>
      </c>
      <c r="P1252" s="75" t="s">
        <v>879</v>
      </c>
      <c r="Q1252" s="63">
        <v>0</v>
      </c>
      <c r="R1252" s="63">
        <v>1510</v>
      </c>
      <c r="S1252" s="63">
        <v>1510</v>
      </c>
      <c r="T1252" s="97" t="s">
        <v>917</v>
      </c>
      <c r="U1252" s="63">
        <v>407371</v>
      </c>
    </row>
    <row r="1253" spans="1:21" ht="18" customHeight="1">
      <c r="A1253" s="103"/>
      <c r="B1253" s="104"/>
      <c r="C1253" s="104"/>
      <c r="D1253" s="104"/>
      <c r="E1253" s="92"/>
      <c r="F1253" s="104"/>
      <c r="G1253" s="92"/>
      <c r="H1253" s="90">
        <v>2200204</v>
      </c>
      <c r="I1253" s="90" t="s">
        <v>806</v>
      </c>
      <c r="J1253" s="143">
        <v>94</v>
      </c>
      <c r="K1253" s="143"/>
      <c r="L1253" s="87">
        <v>406</v>
      </c>
      <c r="M1253" s="92" t="str">
        <f t="shared" si="40"/>
        <v/>
      </c>
      <c r="N1253" s="104">
        <v>150</v>
      </c>
      <c r="O1253" s="92">
        <f t="shared" si="41"/>
        <v>1.7066666666666666</v>
      </c>
      <c r="P1253" s="75" t="s">
        <v>889</v>
      </c>
      <c r="Q1253" s="63">
        <v>0</v>
      </c>
      <c r="R1253" s="63">
        <v>0</v>
      </c>
      <c r="S1253" s="63">
        <v>0</v>
      </c>
      <c r="T1253" s="97" t="s">
        <v>918</v>
      </c>
      <c r="U1253" s="63">
        <v>21310</v>
      </c>
    </row>
    <row r="1254" spans="1:21" ht="18" customHeight="1">
      <c r="A1254" s="103"/>
      <c r="B1254" s="104"/>
      <c r="C1254" s="104"/>
      <c r="D1254" s="104"/>
      <c r="E1254" s="92"/>
      <c r="F1254" s="104"/>
      <c r="G1254" s="92"/>
      <c r="H1254" s="90">
        <v>2200205</v>
      </c>
      <c r="I1254" s="90" t="s">
        <v>807</v>
      </c>
      <c r="J1254" s="143">
        <v>2188</v>
      </c>
      <c r="K1254" s="143"/>
      <c r="L1254" s="87">
        <v>678</v>
      </c>
      <c r="M1254" s="92" t="str">
        <f t="shared" si="40"/>
        <v/>
      </c>
      <c r="N1254" s="104">
        <v>528</v>
      </c>
      <c r="O1254" s="92">
        <f t="shared" si="41"/>
        <v>0.28409090909090917</v>
      </c>
      <c r="P1254" s="75" t="s">
        <v>895</v>
      </c>
      <c r="Q1254" s="63">
        <v>13000</v>
      </c>
      <c r="R1254" s="63">
        <v>0</v>
      </c>
      <c r="S1254" s="63">
        <v>0</v>
      </c>
      <c r="T1254" s="96" t="s">
        <v>919</v>
      </c>
      <c r="U1254" s="63">
        <v>54102</v>
      </c>
    </row>
    <row r="1255" spans="1:21" ht="18" customHeight="1">
      <c r="A1255" s="103"/>
      <c r="B1255" s="104"/>
      <c r="C1255" s="104"/>
      <c r="D1255" s="104"/>
      <c r="E1255" s="92"/>
      <c r="F1255" s="104"/>
      <c r="G1255" s="92"/>
      <c r="H1255" s="90">
        <v>2200206</v>
      </c>
      <c r="I1255" s="90" t="s">
        <v>808</v>
      </c>
      <c r="J1255" s="143">
        <v>0</v>
      </c>
      <c r="K1255" s="143"/>
      <c r="L1255" s="87">
        <v>0</v>
      </c>
      <c r="M1255" s="92" t="str">
        <f t="shared" si="40"/>
        <v/>
      </c>
      <c r="N1255" s="104">
        <v>0</v>
      </c>
      <c r="O1255" s="92" t="str">
        <f t="shared" si="41"/>
        <v/>
      </c>
      <c r="P1255" s="75" t="s">
        <v>901</v>
      </c>
      <c r="Q1255" s="63">
        <v>18000</v>
      </c>
      <c r="R1255" s="63">
        <v>331</v>
      </c>
      <c r="S1255" s="63">
        <v>0</v>
      </c>
      <c r="T1255" s="97" t="s">
        <v>1048</v>
      </c>
      <c r="U1255" s="63">
        <v>0</v>
      </c>
    </row>
    <row r="1256" spans="1:21" ht="18" customHeight="1">
      <c r="A1256" s="103"/>
      <c r="B1256" s="104"/>
      <c r="C1256" s="104"/>
      <c r="D1256" s="104"/>
      <c r="E1256" s="92"/>
      <c r="F1256" s="104"/>
      <c r="G1256" s="92"/>
      <c r="H1256" s="90">
        <v>2200207</v>
      </c>
      <c r="I1256" s="90" t="s">
        <v>809</v>
      </c>
      <c r="J1256" s="143">
        <v>0</v>
      </c>
      <c r="K1256" s="143"/>
      <c r="L1256" s="87">
        <v>20</v>
      </c>
      <c r="M1256" s="92" t="str">
        <f t="shared" si="40"/>
        <v/>
      </c>
      <c r="N1256" s="104">
        <v>0</v>
      </c>
      <c r="O1256" s="92" t="str">
        <f t="shared" si="41"/>
        <v/>
      </c>
      <c r="P1256" s="75" t="s">
        <v>1047</v>
      </c>
      <c r="Q1256" s="63">
        <v>40000</v>
      </c>
      <c r="R1256" s="63">
        <v>0</v>
      </c>
      <c r="S1256" s="63">
        <v>0</v>
      </c>
      <c r="T1256" s="97" t="s">
        <v>1094</v>
      </c>
      <c r="U1256" s="63">
        <v>0</v>
      </c>
    </row>
    <row r="1257" spans="1:21" ht="18" customHeight="1">
      <c r="A1257" s="103"/>
      <c r="B1257" s="104"/>
      <c r="C1257" s="104"/>
      <c r="D1257" s="104"/>
      <c r="E1257" s="92"/>
      <c r="F1257" s="104"/>
      <c r="G1257" s="92"/>
      <c r="H1257" s="90">
        <v>2200208</v>
      </c>
      <c r="I1257" s="90" t="s">
        <v>810</v>
      </c>
      <c r="J1257" s="143">
        <v>1005</v>
      </c>
      <c r="K1257" s="143"/>
      <c r="L1257" s="87">
        <v>922</v>
      </c>
      <c r="M1257" s="92" t="str">
        <f t="shared" si="40"/>
        <v/>
      </c>
      <c r="N1257" s="104">
        <v>928</v>
      </c>
      <c r="O1257" s="92">
        <f t="shared" si="41"/>
        <v>-6.4655172413793371E-3</v>
      </c>
      <c r="P1257" s="75" t="s">
        <v>913</v>
      </c>
      <c r="Q1257" s="63">
        <v>540000</v>
      </c>
      <c r="R1257" s="63">
        <v>533478</v>
      </c>
      <c r="S1257" s="63">
        <v>533478</v>
      </c>
      <c r="T1257" s="97" t="s">
        <v>920</v>
      </c>
      <c r="U1257" s="63">
        <v>54102</v>
      </c>
    </row>
    <row r="1258" spans="1:21" ht="18" customHeight="1">
      <c r="A1258" s="103"/>
      <c r="B1258" s="104"/>
      <c r="C1258" s="104"/>
      <c r="D1258" s="104"/>
      <c r="E1258" s="92"/>
      <c r="F1258" s="104"/>
      <c r="G1258" s="92"/>
      <c r="H1258" s="90">
        <v>2200209</v>
      </c>
      <c r="I1258" s="90" t="s">
        <v>811</v>
      </c>
      <c r="J1258" s="143">
        <v>0</v>
      </c>
      <c r="K1258" s="143"/>
      <c r="L1258" s="87">
        <v>0</v>
      </c>
      <c r="M1258" s="92" t="str">
        <f t="shared" si="40"/>
        <v/>
      </c>
      <c r="N1258" s="104">
        <v>0</v>
      </c>
      <c r="O1258" s="92" t="str">
        <f t="shared" si="41"/>
        <v/>
      </c>
      <c r="P1258" s="75" t="s">
        <v>914</v>
      </c>
      <c r="Q1258" s="63">
        <v>2000</v>
      </c>
      <c r="R1258" s="63">
        <v>801</v>
      </c>
      <c r="S1258" s="63">
        <v>801</v>
      </c>
    </row>
    <row r="1259" spans="1:21" ht="18" customHeight="1">
      <c r="A1259" s="103"/>
      <c r="B1259" s="104"/>
      <c r="C1259" s="104"/>
      <c r="D1259" s="104"/>
      <c r="E1259" s="92"/>
      <c r="F1259" s="104"/>
      <c r="G1259" s="92"/>
      <c r="H1259" s="90">
        <v>2200210</v>
      </c>
      <c r="I1259" s="90" t="s">
        <v>812</v>
      </c>
      <c r="J1259" s="143">
        <v>0</v>
      </c>
      <c r="K1259" s="143"/>
      <c r="L1259" s="87">
        <v>0</v>
      </c>
      <c r="M1259" s="92" t="str">
        <f t="shared" si="40"/>
        <v/>
      </c>
      <c r="N1259" s="104">
        <v>0</v>
      </c>
      <c r="O1259" s="92" t="str">
        <f t="shared" si="41"/>
        <v/>
      </c>
      <c r="P1259" s="75" t="s">
        <v>915</v>
      </c>
      <c r="Q1259" s="63">
        <v>0</v>
      </c>
      <c r="R1259" s="63">
        <v>0</v>
      </c>
      <c r="S1259" s="63">
        <v>0</v>
      </c>
    </row>
    <row r="1260" spans="1:21" ht="18" customHeight="1">
      <c r="A1260" s="103"/>
      <c r="B1260" s="104"/>
      <c r="C1260" s="104"/>
      <c r="D1260" s="104"/>
      <c r="E1260" s="92"/>
      <c r="F1260" s="104"/>
      <c r="G1260" s="92"/>
      <c r="H1260" s="90">
        <v>2200211</v>
      </c>
      <c r="I1260" s="90" t="s">
        <v>813</v>
      </c>
      <c r="J1260" s="143">
        <v>0</v>
      </c>
      <c r="K1260" s="143"/>
      <c r="L1260" s="87">
        <v>0</v>
      </c>
      <c r="M1260" s="92" t="str">
        <f t="shared" si="40"/>
        <v/>
      </c>
      <c r="N1260" s="104">
        <v>0</v>
      </c>
      <c r="O1260" s="92" t="str">
        <f t="shared" si="41"/>
        <v/>
      </c>
      <c r="P1260" s="75" t="s">
        <v>916</v>
      </c>
      <c r="Q1260" s="63">
        <v>0</v>
      </c>
      <c r="R1260" s="63">
        <v>0</v>
      </c>
      <c r="S1260" s="63">
        <v>0</v>
      </c>
    </row>
    <row r="1261" spans="1:21" ht="18" customHeight="1">
      <c r="A1261" s="103"/>
      <c r="B1261" s="104"/>
      <c r="C1261" s="104"/>
      <c r="D1261" s="104"/>
      <c r="E1261" s="92"/>
      <c r="F1261" s="104"/>
      <c r="G1261" s="92"/>
      <c r="H1261" s="90">
        <v>2200212</v>
      </c>
      <c r="I1261" s="90" t="s">
        <v>814</v>
      </c>
      <c r="J1261" s="143">
        <v>0</v>
      </c>
      <c r="K1261" s="143"/>
      <c r="L1261" s="87">
        <v>0</v>
      </c>
      <c r="M1261" s="92" t="str">
        <f t="shared" si="40"/>
        <v/>
      </c>
      <c r="N1261" s="104">
        <v>0</v>
      </c>
      <c r="O1261" s="92" t="str">
        <f t="shared" si="41"/>
        <v/>
      </c>
      <c r="P1261" s="75" t="s">
        <v>917</v>
      </c>
      <c r="Q1261" s="63">
        <v>500000</v>
      </c>
      <c r="R1261" s="63">
        <v>500000</v>
      </c>
      <c r="S1261" s="63">
        <v>500000</v>
      </c>
    </row>
    <row r="1262" spans="1:21" ht="18" customHeight="1">
      <c r="A1262" s="103"/>
      <c r="B1262" s="104"/>
      <c r="C1262" s="104"/>
      <c r="D1262" s="104"/>
      <c r="E1262" s="92"/>
      <c r="F1262" s="104"/>
      <c r="G1262" s="92"/>
      <c r="H1262" s="90">
        <v>2200213</v>
      </c>
      <c r="I1262" s="90" t="s">
        <v>815</v>
      </c>
      <c r="J1262" s="143">
        <v>5</v>
      </c>
      <c r="K1262" s="143"/>
      <c r="L1262" s="87">
        <v>4</v>
      </c>
      <c r="M1262" s="92" t="str">
        <f t="shared" si="40"/>
        <v/>
      </c>
      <c r="N1262" s="104">
        <v>0</v>
      </c>
      <c r="O1262" s="92" t="str">
        <f t="shared" si="41"/>
        <v/>
      </c>
      <c r="P1262" s="75" t="s">
        <v>918</v>
      </c>
      <c r="Q1262" s="63">
        <v>38000</v>
      </c>
      <c r="R1262" s="63">
        <v>32677</v>
      </c>
      <c r="S1262" s="63">
        <v>32677</v>
      </c>
    </row>
    <row r="1263" spans="1:21" ht="18" customHeight="1">
      <c r="A1263" s="103"/>
      <c r="B1263" s="104"/>
      <c r="C1263" s="104"/>
      <c r="D1263" s="104"/>
      <c r="E1263" s="92"/>
      <c r="F1263" s="104"/>
      <c r="G1263" s="92"/>
      <c r="H1263" s="90">
        <v>2200214</v>
      </c>
      <c r="I1263" s="90" t="s">
        <v>816</v>
      </c>
      <c r="J1263" s="143">
        <v>11277</v>
      </c>
      <c r="K1263" s="143"/>
      <c r="L1263" s="87">
        <v>52753</v>
      </c>
      <c r="M1263" s="92" t="str">
        <f t="shared" si="40"/>
        <v/>
      </c>
      <c r="N1263" s="104">
        <v>1488</v>
      </c>
      <c r="O1263" s="92">
        <f t="shared" si="41"/>
        <v>34.45228494623656</v>
      </c>
      <c r="P1263" s="75" t="s">
        <v>919</v>
      </c>
      <c r="Q1263" s="63">
        <v>953110</v>
      </c>
      <c r="R1263" s="63">
        <v>423638</v>
      </c>
      <c r="S1263" s="63">
        <v>346143</v>
      </c>
    </row>
    <row r="1264" spans="1:21" ht="18" customHeight="1">
      <c r="A1264" s="103"/>
      <c r="B1264" s="104"/>
      <c r="C1264" s="104"/>
      <c r="D1264" s="104"/>
      <c r="E1264" s="92"/>
      <c r="F1264" s="104"/>
      <c r="G1264" s="92"/>
      <c r="H1264" s="90">
        <v>2200215</v>
      </c>
      <c r="I1264" s="90" t="s">
        <v>817</v>
      </c>
      <c r="J1264" s="143">
        <v>0</v>
      </c>
      <c r="K1264" s="143"/>
      <c r="L1264" s="87">
        <v>0</v>
      </c>
      <c r="M1264" s="92" t="str">
        <f t="shared" si="40"/>
        <v/>
      </c>
      <c r="N1264" s="104">
        <v>0</v>
      </c>
      <c r="O1264" s="92" t="str">
        <f t="shared" si="41"/>
        <v/>
      </c>
      <c r="P1264" s="75" t="s">
        <v>1048</v>
      </c>
      <c r="Q1264" s="63">
        <v>3707</v>
      </c>
      <c r="R1264" s="63">
        <v>0</v>
      </c>
      <c r="S1264" s="63">
        <v>0</v>
      </c>
    </row>
    <row r="1265" spans="1:19" ht="18" customHeight="1">
      <c r="A1265" s="103"/>
      <c r="B1265" s="104"/>
      <c r="C1265" s="104"/>
      <c r="D1265" s="104"/>
      <c r="E1265" s="92"/>
      <c r="F1265" s="104"/>
      <c r="G1265" s="92"/>
      <c r="H1265" s="90">
        <v>2200216</v>
      </c>
      <c r="I1265" s="90" t="s">
        <v>818</v>
      </c>
      <c r="J1265" s="143">
        <v>0</v>
      </c>
      <c r="K1265" s="143"/>
      <c r="L1265" s="87">
        <v>0</v>
      </c>
      <c r="M1265" s="92" t="str">
        <f t="shared" si="40"/>
        <v/>
      </c>
      <c r="N1265" s="104">
        <v>0</v>
      </c>
      <c r="O1265" s="92" t="str">
        <f t="shared" si="41"/>
        <v/>
      </c>
      <c r="P1265" s="75" t="s">
        <v>920</v>
      </c>
      <c r="Q1265" s="63">
        <v>949403</v>
      </c>
      <c r="R1265" s="63">
        <v>423638</v>
      </c>
      <c r="S1265" s="63">
        <v>346143</v>
      </c>
    </row>
    <row r="1266" spans="1:19" ht="18" customHeight="1">
      <c r="A1266" s="103"/>
      <c r="B1266" s="104"/>
      <c r="C1266" s="104"/>
      <c r="D1266" s="104"/>
      <c r="E1266" s="92"/>
      <c r="F1266" s="104"/>
      <c r="G1266" s="92"/>
      <c r="H1266" s="90">
        <v>2200217</v>
      </c>
      <c r="I1266" s="90" t="s">
        <v>819</v>
      </c>
      <c r="J1266" s="143">
        <v>0</v>
      </c>
      <c r="K1266" s="143"/>
      <c r="L1266" s="87">
        <v>0</v>
      </c>
      <c r="M1266" s="92" t="str">
        <f t="shared" si="40"/>
        <v/>
      </c>
      <c r="N1266" s="104">
        <v>0</v>
      </c>
      <c r="O1266" s="92" t="str">
        <f t="shared" si="41"/>
        <v/>
      </c>
    </row>
    <row r="1267" spans="1:19" ht="18" customHeight="1">
      <c r="A1267" s="103"/>
      <c r="B1267" s="104"/>
      <c r="C1267" s="104"/>
      <c r="D1267" s="104"/>
      <c r="E1267" s="92"/>
      <c r="F1267" s="104"/>
      <c r="G1267" s="92"/>
      <c r="H1267" s="90">
        <v>2200250</v>
      </c>
      <c r="I1267" s="90" t="s">
        <v>1119</v>
      </c>
      <c r="J1267" s="143">
        <v>350</v>
      </c>
      <c r="K1267" s="143"/>
      <c r="L1267" s="87">
        <v>397</v>
      </c>
      <c r="M1267" s="92" t="str">
        <f t="shared" si="40"/>
        <v/>
      </c>
      <c r="N1267" s="104">
        <v>360</v>
      </c>
      <c r="O1267" s="92">
        <f t="shared" si="41"/>
        <v>0.10277777777777786</v>
      </c>
    </row>
    <row r="1268" spans="1:19" ht="18" customHeight="1">
      <c r="A1268" s="103"/>
      <c r="B1268" s="104"/>
      <c r="C1268" s="104"/>
      <c r="D1268" s="104"/>
      <c r="E1268" s="92"/>
      <c r="F1268" s="104"/>
      <c r="G1268" s="92"/>
      <c r="H1268" s="90">
        <v>2200299</v>
      </c>
      <c r="I1268" s="90" t="s">
        <v>820</v>
      </c>
      <c r="J1268" s="143">
        <v>785</v>
      </c>
      <c r="K1268" s="143"/>
      <c r="L1268" s="87">
        <v>1160</v>
      </c>
      <c r="M1268" s="92" t="str">
        <f t="shared" si="40"/>
        <v/>
      </c>
      <c r="N1268" s="104">
        <v>691</v>
      </c>
      <c r="O1268" s="92">
        <f t="shared" si="41"/>
        <v>0.67872648335745289</v>
      </c>
    </row>
    <row r="1269" spans="1:19" ht="18" customHeight="1">
      <c r="A1269" s="103"/>
      <c r="B1269" s="104"/>
      <c r="C1269" s="104"/>
      <c r="D1269" s="104"/>
      <c r="E1269" s="92"/>
      <c r="F1269" s="104"/>
      <c r="G1269" s="92"/>
      <c r="H1269" s="90">
        <v>22003</v>
      </c>
      <c r="I1269" s="80" t="s">
        <v>821</v>
      </c>
      <c r="J1269" s="108">
        <v>0</v>
      </c>
      <c r="K1269" s="647">
        <v>50</v>
      </c>
      <c r="L1269" s="87">
        <v>50</v>
      </c>
      <c r="M1269" s="92">
        <f t="shared" si="40"/>
        <v>1</v>
      </c>
      <c r="N1269" s="104">
        <v>0</v>
      </c>
      <c r="O1269" s="92" t="str">
        <f t="shared" si="41"/>
        <v/>
      </c>
    </row>
    <row r="1270" spans="1:19" ht="18" customHeight="1">
      <c r="A1270" s="103"/>
      <c r="B1270" s="104"/>
      <c r="C1270" s="104"/>
      <c r="D1270" s="104"/>
      <c r="E1270" s="92"/>
      <c r="F1270" s="104"/>
      <c r="G1270" s="92"/>
      <c r="H1270" s="90">
        <v>2200301</v>
      </c>
      <c r="I1270" s="90" t="s">
        <v>1110</v>
      </c>
      <c r="J1270" s="143">
        <v>0</v>
      </c>
      <c r="K1270" s="143"/>
      <c r="L1270" s="87">
        <v>0</v>
      </c>
      <c r="M1270" s="92" t="str">
        <f t="shared" si="40"/>
        <v/>
      </c>
      <c r="N1270" s="104">
        <v>0</v>
      </c>
      <c r="O1270" s="92" t="str">
        <f t="shared" si="41"/>
        <v/>
      </c>
    </row>
    <row r="1271" spans="1:19" ht="18" customHeight="1">
      <c r="A1271" s="103"/>
      <c r="B1271" s="104"/>
      <c r="C1271" s="104"/>
      <c r="D1271" s="104"/>
      <c r="E1271" s="92"/>
      <c r="F1271" s="104"/>
      <c r="G1271" s="92"/>
      <c r="H1271" s="90">
        <v>2200302</v>
      </c>
      <c r="I1271" s="90" t="s">
        <v>1111</v>
      </c>
      <c r="J1271" s="143">
        <v>0</v>
      </c>
      <c r="K1271" s="143"/>
      <c r="L1271" s="87">
        <v>0</v>
      </c>
      <c r="M1271" s="92" t="str">
        <f t="shared" si="40"/>
        <v/>
      </c>
      <c r="N1271" s="104">
        <v>0</v>
      </c>
      <c r="O1271" s="92" t="str">
        <f t="shared" si="41"/>
        <v/>
      </c>
    </row>
    <row r="1272" spans="1:19" ht="18" customHeight="1">
      <c r="A1272" s="103"/>
      <c r="B1272" s="104"/>
      <c r="C1272" s="104"/>
      <c r="D1272" s="104"/>
      <c r="E1272" s="92"/>
      <c r="F1272" s="104"/>
      <c r="G1272" s="92"/>
      <c r="H1272" s="90">
        <v>2200303</v>
      </c>
      <c r="I1272" s="90" t="s">
        <v>1112</v>
      </c>
      <c r="J1272" s="143">
        <v>0</v>
      </c>
      <c r="K1272" s="143"/>
      <c r="L1272" s="87">
        <v>0</v>
      </c>
      <c r="M1272" s="92" t="str">
        <f t="shared" si="40"/>
        <v/>
      </c>
      <c r="N1272" s="104">
        <v>0</v>
      </c>
      <c r="O1272" s="92" t="str">
        <f t="shared" si="41"/>
        <v/>
      </c>
    </row>
    <row r="1273" spans="1:19" ht="18" customHeight="1">
      <c r="A1273" s="103"/>
      <c r="B1273" s="104"/>
      <c r="C1273" s="104"/>
      <c r="D1273" s="104"/>
      <c r="E1273" s="92"/>
      <c r="F1273" s="104"/>
      <c r="G1273" s="92"/>
      <c r="H1273" s="90">
        <v>2200304</v>
      </c>
      <c r="I1273" s="90" t="s">
        <v>822</v>
      </c>
      <c r="J1273" s="143">
        <v>0</v>
      </c>
      <c r="K1273" s="143"/>
      <c r="L1273" s="87">
        <v>50</v>
      </c>
      <c r="M1273" s="92" t="str">
        <f t="shared" si="40"/>
        <v/>
      </c>
      <c r="N1273" s="104">
        <v>0</v>
      </c>
      <c r="O1273" s="92" t="str">
        <f t="shared" si="41"/>
        <v/>
      </c>
    </row>
    <row r="1274" spans="1:19" ht="18" customHeight="1">
      <c r="A1274" s="103"/>
      <c r="B1274" s="104"/>
      <c r="C1274" s="104"/>
      <c r="D1274" s="104"/>
      <c r="E1274" s="92"/>
      <c r="F1274" s="104"/>
      <c r="G1274" s="92"/>
      <c r="H1274" s="90">
        <v>2200305</v>
      </c>
      <c r="I1274" s="90" t="s">
        <v>823</v>
      </c>
      <c r="J1274" s="143">
        <v>0</v>
      </c>
      <c r="K1274" s="143"/>
      <c r="L1274" s="87">
        <v>0</v>
      </c>
      <c r="M1274" s="92" t="str">
        <f t="shared" si="40"/>
        <v/>
      </c>
      <c r="N1274" s="104">
        <v>0</v>
      </c>
      <c r="O1274" s="92" t="str">
        <f t="shared" si="41"/>
        <v/>
      </c>
    </row>
    <row r="1275" spans="1:19" ht="18" customHeight="1">
      <c r="A1275" s="103"/>
      <c r="B1275" s="104"/>
      <c r="C1275" s="104"/>
      <c r="D1275" s="104"/>
      <c r="E1275" s="92"/>
      <c r="F1275" s="104"/>
      <c r="G1275" s="92"/>
      <c r="H1275" s="90">
        <v>2200306</v>
      </c>
      <c r="I1275" s="90" t="s">
        <v>824</v>
      </c>
      <c r="J1275" s="143">
        <v>0</v>
      </c>
      <c r="K1275" s="143"/>
      <c r="L1275" s="87">
        <v>0</v>
      </c>
      <c r="M1275" s="92" t="str">
        <f t="shared" si="40"/>
        <v/>
      </c>
      <c r="N1275" s="104">
        <v>0</v>
      </c>
      <c r="O1275" s="92" t="str">
        <f t="shared" si="41"/>
        <v/>
      </c>
    </row>
    <row r="1276" spans="1:19" ht="18" customHeight="1">
      <c r="A1276" s="103"/>
      <c r="B1276" s="104"/>
      <c r="C1276" s="104"/>
      <c r="D1276" s="104"/>
      <c r="E1276" s="92"/>
      <c r="F1276" s="104"/>
      <c r="G1276" s="92"/>
      <c r="H1276" s="90">
        <v>2200350</v>
      </c>
      <c r="I1276" s="90" t="s">
        <v>1119</v>
      </c>
      <c r="J1276" s="143">
        <v>0</v>
      </c>
      <c r="K1276" s="143"/>
      <c r="L1276" s="87">
        <v>0</v>
      </c>
      <c r="M1276" s="92" t="str">
        <f t="shared" si="40"/>
        <v/>
      </c>
      <c r="N1276" s="104">
        <v>0</v>
      </c>
      <c r="O1276" s="92" t="str">
        <f t="shared" si="41"/>
        <v/>
      </c>
    </row>
    <row r="1277" spans="1:19" ht="18" customHeight="1">
      <c r="A1277" s="103"/>
      <c r="B1277" s="104"/>
      <c r="C1277" s="104"/>
      <c r="D1277" s="104"/>
      <c r="E1277" s="92"/>
      <c r="F1277" s="104"/>
      <c r="G1277" s="92"/>
      <c r="H1277" s="90">
        <v>2200399</v>
      </c>
      <c r="I1277" s="90" t="s">
        <v>825</v>
      </c>
      <c r="J1277" s="143">
        <v>0</v>
      </c>
      <c r="K1277" s="143"/>
      <c r="L1277" s="87">
        <v>0</v>
      </c>
      <c r="M1277" s="92" t="str">
        <f t="shared" si="40"/>
        <v/>
      </c>
      <c r="N1277" s="104">
        <v>0</v>
      </c>
      <c r="O1277" s="92" t="str">
        <f t="shared" si="41"/>
        <v/>
      </c>
    </row>
    <row r="1278" spans="1:19" ht="18" customHeight="1">
      <c r="A1278" s="103"/>
      <c r="B1278" s="104"/>
      <c r="C1278" s="104"/>
      <c r="D1278" s="104"/>
      <c r="E1278" s="92"/>
      <c r="F1278" s="104"/>
      <c r="G1278" s="92"/>
      <c r="H1278" s="90">
        <v>22004</v>
      </c>
      <c r="I1278" s="80" t="s">
        <v>826</v>
      </c>
      <c r="J1278" s="143">
        <v>416</v>
      </c>
      <c r="K1278" s="647">
        <v>351</v>
      </c>
      <c r="L1278" s="87">
        <v>351</v>
      </c>
      <c r="M1278" s="92">
        <f t="shared" si="40"/>
        <v>1</v>
      </c>
      <c r="N1278" s="104">
        <v>172</v>
      </c>
      <c r="O1278" s="92">
        <f t="shared" si="41"/>
        <v>1.0406976744186047</v>
      </c>
    </row>
    <row r="1279" spans="1:19" ht="18" customHeight="1">
      <c r="A1279" s="103"/>
      <c r="B1279" s="104"/>
      <c r="C1279" s="104"/>
      <c r="D1279" s="104"/>
      <c r="E1279" s="92"/>
      <c r="F1279" s="104"/>
      <c r="G1279" s="92"/>
      <c r="H1279" s="90">
        <v>2200401</v>
      </c>
      <c r="I1279" s="90" t="s">
        <v>1110</v>
      </c>
      <c r="J1279" s="143">
        <v>0</v>
      </c>
      <c r="K1279" s="143"/>
      <c r="L1279" s="87">
        <v>0</v>
      </c>
      <c r="M1279" s="92" t="str">
        <f t="shared" si="40"/>
        <v/>
      </c>
      <c r="N1279" s="104">
        <v>0</v>
      </c>
      <c r="O1279" s="92" t="str">
        <f t="shared" si="41"/>
        <v/>
      </c>
    </row>
    <row r="1280" spans="1:19" ht="18" customHeight="1">
      <c r="A1280" s="103"/>
      <c r="B1280" s="104"/>
      <c r="C1280" s="104"/>
      <c r="D1280" s="104"/>
      <c r="E1280" s="92"/>
      <c r="F1280" s="104"/>
      <c r="G1280" s="92"/>
      <c r="H1280" s="90">
        <v>2200402</v>
      </c>
      <c r="I1280" s="90" t="s">
        <v>1111</v>
      </c>
      <c r="J1280" s="143">
        <v>0</v>
      </c>
      <c r="K1280" s="143"/>
      <c r="L1280" s="87">
        <v>0</v>
      </c>
      <c r="M1280" s="92" t="str">
        <f t="shared" si="40"/>
        <v/>
      </c>
      <c r="N1280" s="104">
        <v>0</v>
      </c>
      <c r="O1280" s="92" t="str">
        <f t="shared" si="41"/>
        <v/>
      </c>
    </row>
    <row r="1281" spans="1:15" ht="18" customHeight="1">
      <c r="A1281" s="103"/>
      <c r="B1281" s="104"/>
      <c r="C1281" s="104"/>
      <c r="D1281" s="104"/>
      <c r="E1281" s="92"/>
      <c r="F1281" s="104"/>
      <c r="G1281" s="92"/>
      <c r="H1281" s="90">
        <v>2200403</v>
      </c>
      <c r="I1281" s="90" t="s">
        <v>1112</v>
      </c>
      <c r="J1281" s="143">
        <v>0</v>
      </c>
      <c r="K1281" s="143"/>
      <c r="L1281" s="87">
        <v>0</v>
      </c>
      <c r="M1281" s="92" t="str">
        <f t="shared" si="40"/>
        <v/>
      </c>
      <c r="N1281" s="104">
        <v>0</v>
      </c>
      <c r="O1281" s="92" t="str">
        <f t="shared" si="41"/>
        <v/>
      </c>
    </row>
    <row r="1282" spans="1:15" ht="18" customHeight="1">
      <c r="A1282" s="103"/>
      <c r="B1282" s="104"/>
      <c r="C1282" s="104"/>
      <c r="D1282" s="104"/>
      <c r="E1282" s="92"/>
      <c r="F1282" s="104"/>
      <c r="G1282" s="92"/>
      <c r="H1282" s="90">
        <v>2200404</v>
      </c>
      <c r="I1282" s="90" t="s">
        <v>827</v>
      </c>
      <c r="J1282" s="143">
        <v>86</v>
      </c>
      <c r="K1282" s="143"/>
      <c r="L1282" s="87">
        <v>86</v>
      </c>
      <c r="M1282" s="92" t="str">
        <f t="shared" si="40"/>
        <v/>
      </c>
      <c r="N1282" s="104">
        <v>58</v>
      </c>
      <c r="O1282" s="92">
        <f t="shared" si="41"/>
        <v>0.48275862068965525</v>
      </c>
    </row>
    <row r="1283" spans="1:15" ht="18" customHeight="1">
      <c r="A1283" s="103"/>
      <c r="B1283" s="104"/>
      <c r="C1283" s="104"/>
      <c r="D1283" s="104"/>
      <c r="E1283" s="92"/>
      <c r="F1283" s="104"/>
      <c r="G1283" s="92"/>
      <c r="H1283" s="90">
        <v>2200405</v>
      </c>
      <c r="I1283" s="90" t="s">
        <v>828</v>
      </c>
      <c r="J1283" s="143">
        <v>0</v>
      </c>
      <c r="K1283" s="143"/>
      <c r="L1283" s="87">
        <v>0</v>
      </c>
      <c r="M1283" s="92" t="str">
        <f t="shared" si="40"/>
        <v/>
      </c>
      <c r="N1283" s="104">
        <v>0</v>
      </c>
      <c r="O1283" s="92" t="str">
        <f t="shared" si="41"/>
        <v/>
      </c>
    </row>
    <row r="1284" spans="1:15" ht="18" customHeight="1">
      <c r="A1284" s="103"/>
      <c r="B1284" s="104"/>
      <c r="C1284" s="104"/>
      <c r="D1284" s="104"/>
      <c r="E1284" s="92"/>
      <c r="F1284" s="104"/>
      <c r="G1284" s="92"/>
      <c r="H1284" s="90">
        <v>2200406</v>
      </c>
      <c r="I1284" s="90" t="s">
        <v>829</v>
      </c>
      <c r="J1284" s="143">
        <v>27</v>
      </c>
      <c r="K1284" s="143"/>
      <c r="L1284" s="87">
        <v>27</v>
      </c>
      <c r="M1284" s="92" t="str">
        <f t="shared" si="40"/>
        <v/>
      </c>
      <c r="N1284" s="104">
        <v>61</v>
      </c>
      <c r="O1284" s="92">
        <f t="shared" si="41"/>
        <v>-0.55737704918032782</v>
      </c>
    </row>
    <row r="1285" spans="1:15" ht="18" customHeight="1">
      <c r="A1285" s="103"/>
      <c r="B1285" s="104"/>
      <c r="C1285" s="104"/>
      <c r="D1285" s="104"/>
      <c r="E1285" s="92"/>
      <c r="F1285" s="104"/>
      <c r="G1285" s="92"/>
      <c r="H1285" s="90">
        <v>2200407</v>
      </c>
      <c r="I1285" s="90" t="s">
        <v>830</v>
      </c>
      <c r="J1285" s="143">
        <v>0</v>
      </c>
      <c r="K1285" s="143"/>
      <c r="L1285" s="87">
        <v>0</v>
      </c>
      <c r="M1285" s="92" t="str">
        <f t="shared" si="40"/>
        <v/>
      </c>
      <c r="N1285" s="104">
        <v>0</v>
      </c>
      <c r="O1285" s="92" t="str">
        <f t="shared" si="41"/>
        <v/>
      </c>
    </row>
    <row r="1286" spans="1:15" ht="18" customHeight="1">
      <c r="A1286" s="103"/>
      <c r="B1286" s="104"/>
      <c r="C1286" s="104"/>
      <c r="D1286" s="104"/>
      <c r="E1286" s="92"/>
      <c r="F1286" s="104"/>
      <c r="G1286" s="92"/>
      <c r="H1286" s="90">
        <v>2200408</v>
      </c>
      <c r="I1286" s="90" t="s">
        <v>831</v>
      </c>
      <c r="J1286" s="143">
        <v>0</v>
      </c>
      <c r="K1286" s="143"/>
      <c r="L1286" s="87">
        <v>0</v>
      </c>
      <c r="M1286" s="92" t="str">
        <f t="shared" ref="M1286:M1349" si="42">+IF(ISERROR(L1286/K1286),"",L1286/K1286)</f>
        <v/>
      </c>
      <c r="N1286" s="104">
        <v>0</v>
      </c>
      <c r="O1286" s="92" t="str">
        <f t="shared" si="41"/>
        <v/>
      </c>
    </row>
    <row r="1287" spans="1:15" ht="18" customHeight="1">
      <c r="A1287" s="103"/>
      <c r="B1287" s="104"/>
      <c r="C1287" s="104"/>
      <c r="D1287" s="104"/>
      <c r="E1287" s="92"/>
      <c r="F1287" s="104"/>
      <c r="G1287" s="92"/>
      <c r="H1287" s="90">
        <v>2200409</v>
      </c>
      <c r="I1287" s="90" t="s">
        <v>832</v>
      </c>
      <c r="J1287" s="143">
        <v>0</v>
      </c>
      <c r="K1287" s="143"/>
      <c r="L1287" s="87">
        <v>0</v>
      </c>
      <c r="M1287" s="92" t="str">
        <f t="shared" si="42"/>
        <v/>
      </c>
      <c r="N1287" s="104">
        <v>0</v>
      </c>
      <c r="O1287" s="92" t="str">
        <f t="shared" ref="O1287:O1350" si="43">IF(ISERROR(L1287/N1287-1),"",(L1287/N1287-1))</f>
        <v/>
      </c>
    </row>
    <row r="1288" spans="1:15" ht="18" customHeight="1">
      <c r="A1288" s="103"/>
      <c r="B1288" s="104"/>
      <c r="C1288" s="104"/>
      <c r="D1288" s="104"/>
      <c r="E1288" s="92"/>
      <c r="F1288" s="104"/>
      <c r="G1288" s="92"/>
      <c r="H1288" s="90">
        <v>2200410</v>
      </c>
      <c r="I1288" s="90" t="s">
        <v>833</v>
      </c>
      <c r="J1288" s="143">
        <v>0</v>
      </c>
      <c r="K1288" s="143"/>
      <c r="L1288" s="87">
        <v>0</v>
      </c>
      <c r="M1288" s="92" t="str">
        <f t="shared" si="42"/>
        <v/>
      </c>
      <c r="N1288" s="104">
        <v>0</v>
      </c>
      <c r="O1288" s="92" t="str">
        <f t="shared" si="43"/>
        <v/>
      </c>
    </row>
    <row r="1289" spans="1:15" ht="18" customHeight="1">
      <c r="A1289" s="103"/>
      <c r="B1289" s="104"/>
      <c r="C1289" s="104"/>
      <c r="D1289" s="104"/>
      <c r="E1289" s="92"/>
      <c r="F1289" s="104"/>
      <c r="G1289" s="92"/>
      <c r="H1289" s="90">
        <v>2200450</v>
      </c>
      <c r="I1289" s="90" t="s">
        <v>834</v>
      </c>
      <c r="J1289" s="143">
        <v>0</v>
      </c>
      <c r="K1289" s="143"/>
      <c r="L1289" s="87">
        <v>0</v>
      </c>
      <c r="M1289" s="92" t="str">
        <f t="shared" si="42"/>
        <v/>
      </c>
      <c r="N1289" s="104">
        <v>0</v>
      </c>
      <c r="O1289" s="92" t="str">
        <f t="shared" si="43"/>
        <v/>
      </c>
    </row>
    <row r="1290" spans="1:15" ht="18" customHeight="1">
      <c r="A1290" s="103"/>
      <c r="B1290" s="104"/>
      <c r="C1290" s="104"/>
      <c r="D1290" s="104"/>
      <c r="E1290" s="92"/>
      <c r="F1290" s="104"/>
      <c r="G1290" s="92"/>
      <c r="H1290" s="90">
        <v>2200499</v>
      </c>
      <c r="I1290" s="90" t="s">
        <v>835</v>
      </c>
      <c r="J1290" s="143">
        <v>303</v>
      </c>
      <c r="K1290" s="143"/>
      <c r="L1290" s="87">
        <v>238</v>
      </c>
      <c r="M1290" s="92" t="str">
        <f t="shared" si="42"/>
        <v/>
      </c>
      <c r="N1290" s="104">
        <v>53</v>
      </c>
      <c r="O1290" s="92">
        <f t="shared" si="43"/>
        <v>3.4905660377358494</v>
      </c>
    </row>
    <row r="1291" spans="1:15" ht="18" customHeight="1">
      <c r="A1291" s="103"/>
      <c r="B1291" s="104"/>
      <c r="C1291" s="104"/>
      <c r="D1291" s="104"/>
      <c r="E1291" s="92"/>
      <c r="F1291" s="104"/>
      <c r="G1291" s="92"/>
      <c r="H1291" s="90">
        <v>22005</v>
      </c>
      <c r="I1291" s="80" t="s">
        <v>836</v>
      </c>
      <c r="J1291" s="143">
        <v>15721</v>
      </c>
      <c r="K1291" s="647">
        <v>15678</v>
      </c>
      <c r="L1291" s="87">
        <v>15678</v>
      </c>
      <c r="M1291" s="92">
        <f t="shared" si="42"/>
        <v>1</v>
      </c>
      <c r="N1291" s="104">
        <v>8762</v>
      </c>
      <c r="O1291" s="92">
        <f t="shared" si="43"/>
        <v>0.78931750741839757</v>
      </c>
    </row>
    <row r="1292" spans="1:15" ht="18" customHeight="1">
      <c r="A1292" s="103"/>
      <c r="B1292" s="104"/>
      <c r="C1292" s="104"/>
      <c r="D1292" s="104"/>
      <c r="E1292" s="92"/>
      <c r="F1292" s="104"/>
      <c r="G1292" s="92"/>
      <c r="H1292" s="90">
        <v>2200501</v>
      </c>
      <c r="I1292" s="90" t="s">
        <v>1110</v>
      </c>
      <c r="J1292" s="143">
        <v>1939</v>
      </c>
      <c r="K1292" s="143"/>
      <c r="L1292" s="87">
        <v>2292</v>
      </c>
      <c r="M1292" s="92" t="str">
        <f t="shared" si="42"/>
        <v/>
      </c>
      <c r="N1292" s="104">
        <v>1932</v>
      </c>
      <c r="O1292" s="92">
        <f t="shared" si="43"/>
        <v>0.18633540372670798</v>
      </c>
    </row>
    <row r="1293" spans="1:15" ht="18" customHeight="1">
      <c r="A1293" s="103"/>
      <c r="B1293" s="104"/>
      <c r="C1293" s="104"/>
      <c r="D1293" s="104"/>
      <c r="E1293" s="92"/>
      <c r="F1293" s="104"/>
      <c r="G1293" s="92"/>
      <c r="H1293" s="90">
        <v>2200502</v>
      </c>
      <c r="I1293" s="90" t="s">
        <v>1111</v>
      </c>
      <c r="J1293" s="143">
        <v>0</v>
      </c>
      <c r="K1293" s="143"/>
      <c r="L1293" s="87">
        <v>0</v>
      </c>
      <c r="M1293" s="92" t="str">
        <f t="shared" si="42"/>
        <v/>
      </c>
      <c r="N1293" s="104">
        <v>0</v>
      </c>
      <c r="O1293" s="92" t="str">
        <f t="shared" si="43"/>
        <v/>
      </c>
    </row>
    <row r="1294" spans="1:15" ht="18" customHeight="1">
      <c r="A1294" s="103"/>
      <c r="B1294" s="104"/>
      <c r="C1294" s="104"/>
      <c r="D1294" s="104"/>
      <c r="E1294" s="92"/>
      <c r="F1294" s="104"/>
      <c r="G1294" s="92"/>
      <c r="H1294" s="90">
        <v>2200503</v>
      </c>
      <c r="I1294" s="90" t="s">
        <v>1112</v>
      </c>
      <c r="J1294" s="143">
        <v>0</v>
      </c>
      <c r="K1294" s="143"/>
      <c r="L1294" s="87">
        <v>0</v>
      </c>
      <c r="M1294" s="92" t="str">
        <f t="shared" si="42"/>
        <v/>
      </c>
      <c r="N1294" s="104">
        <v>0</v>
      </c>
      <c r="O1294" s="92" t="str">
        <f t="shared" si="43"/>
        <v/>
      </c>
    </row>
    <row r="1295" spans="1:15" ht="18" customHeight="1">
      <c r="A1295" s="103"/>
      <c r="B1295" s="104"/>
      <c r="C1295" s="104"/>
      <c r="D1295" s="104"/>
      <c r="E1295" s="92"/>
      <c r="F1295" s="104"/>
      <c r="G1295" s="92"/>
      <c r="H1295" s="90">
        <v>2200504</v>
      </c>
      <c r="I1295" s="90" t="s">
        <v>837</v>
      </c>
      <c r="J1295" s="143">
        <v>356</v>
      </c>
      <c r="K1295" s="143"/>
      <c r="L1295" s="87">
        <v>406</v>
      </c>
      <c r="M1295" s="92" t="str">
        <f t="shared" si="42"/>
        <v/>
      </c>
      <c r="N1295" s="104">
        <v>366</v>
      </c>
      <c r="O1295" s="92">
        <f t="shared" si="43"/>
        <v>0.1092896174863387</v>
      </c>
    </row>
    <row r="1296" spans="1:15" ht="18" customHeight="1">
      <c r="A1296" s="103"/>
      <c r="B1296" s="104"/>
      <c r="C1296" s="104"/>
      <c r="D1296" s="104"/>
      <c r="E1296" s="92"/>
      <c r="F1296" s="104"/>
      <c r="G1296" s="92"/>
      <c r="H1296" s="90">
        <v>2200505</v>
      </c>
      <c r="I1296" s="90" t="s">
        <v>838</v>
      </c>
      <c r="J1296" s="143">
        <v>135</v>
      </c>
      <c r="K1296" s="143"/>
      <c r="L1296" s="87">
        <v>130</v>
      </c>
      <c r="M1296" s="92" t="str">
        <f t="shared" si="42"/>
        <v/>
      </c>
      <c r="N1296" s="104">
        <v>136</v>
      </c>
      <c r="O1296" s="92">
        <f t="shared" si="43"/>
        <v>-4.4117647058823484E-2</v>
      </c>
    </row>
    <row r="1297" spans="1:16" ht="18" customHeight="1">
      <c r="A1297" s="103"/>
      <c r="B1297" s="104"/>
      <c r="C1297" s="104"/>
      <c r="D1297" s="104"/>
      <c r="E1297" s="92"/>
      <c r="F1297" s="104"/>
      <c r="G1297" s="92"/>
      <c r="H1297" s="90">
        <v>2200506</v>
      </c>
      <c r="I1297" s="90" t="s">
        <v>839</v>
      </c>
      <c r="J1297" s="143">
        <v>216</v>
      </c>
      <c r="K1297" s="143"/>
      <c r="L1297" s="87">
        <v>245</v>
      </c>
      <c r="M1297" s="92" t="str">
        <f t="shared" si="42"/>
        <v/>
      </c>
      <c r="N1297" s="104">
        <v>247</v>
      </c>
      <c r="O1297" s="92">
        <f t="shared" si="43"/>
        <v>-8.0971659919027994E-3</v>
      </c>
    </row>
    <row r="1298" spans="1:16" ht="18" customHeight="1">
      <c r="A1298" s="103"/>
      <c r="B1298" s="104"/>
      <c r="C1298" s="104"/>
      <c r="D1298" s="104"/>
      <c r="E1298" s="92"/>
      <c r="F1298" s="104"/>
      <c r="G1298" s="92"/>
      <c r="H1298" s="90">
        <v>2200507</v>
      </c>
      <c r="I1298" s="90" t="s">
        <v>840</v>
      </c>
      <c r="J1298" s="143">
        <v>717</v>
      </c>
      <c r="K1298" s="143"/>
      <c r="L1298" s="87">
        <v>806</v>
      </c>
      <c r="M1298" s="92" t="str">
        <f t="shared" si="42"/>
        <v/>
      </c>
      <c r="N1298" s="104">
        <v>712</v>
      </c>
      <c r="O1298" s="92">
        <f t="shared" si="43"/>
        <v>0.1320224719101124</v>
      </c>
    </row>
    <row r="1299" spans="1:16" ht="18" customHeight="1">
      <c r="A1299" s="103"/>
      <c r="B1299" s="104"/>
      <c r="C1299" s="104"/>
      <c r="D1299" s="104"/>
      <c r="E1299" s="92"/>
      <c r="F1299" s="104"/>
      <c r="G1299" s="92"/>
      <c r="H1299" s="90">
        <v>2200508</v>
      </c>
      <c r="I1299" s="90" t="s">
        <v>841</v>
      </c>
      <c r="J1299" s="143">
        <v>576</v>
      </c>
      <c r="K1299" s="143"/>
      <c r="L1299" s="87">
        <v>996</v>
      </c>
      <c r="M1299" s="92" t="str">
        <f t="shared" si="42"/>
        <v/>
      </c>
      <c r="N1299" s="104">
        <v>435</v>
      </c>
      <c r="O1299" s="92">
        <f t="shared" si="43"/>
        <v>1.2896551724137932</v>
      </c>
    </row>
    <row r="1300" spans="1:16" ht="18" customHeight="1">
      <c r="A1300" s="103"/>
      <c r="B1300" s="104"/>
      <c r="C1300" s="104"/>
      <c r="D1300" s="104"/>
      <c r="E1300" s="92"/>
      <c r="F1300" s="104"/>
      <c r="G1300" s="92"/>
      <c r="H1300" s="90">
        <v>2200509</v>
      </c>
      <c r="I1300" s="90" t="s">
        <v>842</v>
      </c>
      <c r="J1300" s="143">
        <v>6254</v>
      </c>
      <c r="K1300" s="143"/>
      <c r="L1300" s="87">
        <v>5343</v>
      </c>
      <c r="M1300" s="92" t="str">
        <f t="shared" si="42"/>
        <v/>
      </c>
      <c r="N1300" s="104">
        <v>2772</v>
      </c>
      <c r="O1300" s="92">
        <f t="shared" si="43"/>
        <v>0.92748917748917759</v>
      </c>
    </row>
    <row r="1301" spans="1:16" ht="18" customHeight="1">
      <c r="A1301" s="103"/>
      <c r="B1301" s="104"/>
      <c r="C1301" s="104"/>
      <c r="D1301" s="104"/>
      <c r="E1301" s="92"/>
      <c r="F1301" s="104"/>
      <c r="G1301" s="92"/>
      <c r="H1301" s="90">
        <v>2200510</v>
      </c>
      <c r="I1301" s="90" t="s">
        <v>843</v>
      </c>
      <c r="J1301" s="143">
        <v>3986</v>
      </c>
      <c r="K1301" s="143"/>
      <c r="L1301" s="87">
        <v>1522</v>
      </c>
      <c r="M1301" s="92" t="str">
        <f t="shared" si="42"/>
        <v/>
      </c>
      <c r="N1301" s="104">
        <v>953</v>
      </c>
      <c r="O1301" s="92">
        <f t="shared" si="43"/>
        <v>0.59706190975865692</v>
      </c>
    </row>
    <row r="1302" spans="1:16" ht="18" customHeight="1">
      <c r="A1302" s="103"/>
      <c r="B1302" s="104"/>
      <c r="C1302" s="104"/>
      <c r="D1302" s="104"/>
      <c r="E1302" s="92"/>
      <c r="F1302" s="104"/>
      <c r="G1302" s="92"/>
      <c r="H1302" s="90">
        <v>2200511</v>
      </c>
      <c r="I1302" s="90" t="s">
        <v>844</v>
      </c>
      <c r="J1302" s="143">
        <v>761</v>
      </c>
      <c r="K1302" s="143"/>
      <c r="L1302" s="87">
        <v>715</v>
      </c>
      <c r="M1302" s="92" t="str">
        <f t="shared" si="42"/>
        <v/>
      </c>
      <c r="N1302" s="104">
        <v>517</v>
      </c>
      <c r="O1302" s="92">
        <f t="shared" si="43"/>
        <v>0.38297872340425543</v>
      </c>
    </row>
    <row r="1303" spans="1:16" ht="18" customHeight="1">
      <c r="A1303" s="103"/>
      <c r="B1303" s="104"/>
      <c r="C1303" s="104"/>
      <c r="D1303" s="104"/>
      <c r="E1303" s="92"/>
      <c r="F1303" s="104"/>
      <c r="G1303" s="92"/>
      <c r="H1303" s="90">
        <v>2200512</v>
      </c>
      <c r="I1303" s="90" t="s">
        <v>845</v>
      </c>
      <c r="J1303" s="143">
        <v>0</v>
      </c>
      <c r="K1303" s="143"/>
      <c r="L1303" s="87">
        <v>0</v>
      </c>
      <c r="M1303" s="92" t="str">
        <f t="shared" si="42"/>
        <v/>
      </c>
      <c r="N1303" s="104">
        <v>0</v>
      </c>
      <c r="O1303" s="92" t="str">
        <f t="shared" si="43"/>
        <v/>
      </c>
    </row>
    <row r="1304" spans="1:16" ht="18" customHeight="1">
      <c r="A1304" s="103"/>
      <c r="B1304" s="104"/>
      <c r="C1304" s="104"/>
      <c r="D1304" s="104"/>
      <c r="E1304" s="92"/>
      <c r="F1304" s="104"/>
      <c r="G1304" s="92"/>
      <c r="H1304" s="90">
        <v>2200513</v>
      </c>
      <c r="I1304" s="90" t="s">
        <v>846</v>
      </c>
      <c r="J1304" s="143">
        <v>320</v>
      </c>
      <c r="K1304" s="143"/>
      <c r="L1304" s="87">
        <v>382</v>
      </c>
      <c r="M1304" s="92" t="str">
        <f t="shared" si="42"/>
        <v/>
      </c>
      <c r="N1304" s="104">
        <v>324</v>
      </c>
      <c r="O1304" s="92">
        <f t="shared" si="43"/>
        <v>0.17901234567901225</v>
      </c>
    </row>
    <row r="1305" spans="1:16" ht="18" customHeight="1">
      <c r="A1305" s="103"/>
      <c r="B1305" s="104"/>
      <c r="C1305" s="104"/>
      <c r="D1305" s="104"/>
      <c r="E1305" s="92"/>
      <c r="F1305" s="104"/>
      <c r="G1305" s="92"/>
      <c r="H1305" s="90">
        <v>2200514</v>
      </c>
      <c r="I1305" s="90" t="s">
        <v>847</v>
      </c>
      <c r="J1305" s="143">
        <v>0</v>
      </c>
      <c r="K1305" s="143"/>
      <c r="L1305" s="87">
        <v>0</v>
      </c>
      <c r="M1305" s="92" t="str">
        <f t="shared" si="42"/>
        <v/>
      </c>
      <c r="N1305" s="104">
        <v>0</v>
      </c>
      <c r="O1305" s="92" t="str">
        <f t="shared" si="43"/>
        <v/>
      </c>
    </row>
    <row r="1306" spans="1:16" ht="18" customHeight="1">
      <c r="A1306" s="103"/>
      <c r="B1306" s="104"/>
      <c r="C1306" s="104"/>
      <c r="D1306" s="104"/>
      <c r="E1306" s="92"/>
      <c r="F1306" s="104"/>
      <c r="G1306" s="92"/>
      <c r="H1306" s="90">
        <v>2200599</v>
      </c>
      <c r="I1306" s="90" t="s">
        <v>848</v>
      </c>
      <c r="J1306" s="143">
        <v>461</v>
      </c>
      <c r="K1306" s="143"/>
      <c r="L1306" s="87">
        <v>2841</v>
      </c>
      <c r="M1306" s="92" t="str">
        <f t="shared" si="42"/>
        <v/>
      </c>
      <c r="N1306" s="104">
        <v>368</v>
      </c>
      <c r="O1306" s="92">
        <f t="shared" si="43"/>
        <v>6.7201086956521738</v>
      </c>
    </row>
    <row r="1307" spans="1:16" ht="18" customHeight="1">
      <c r="A1307" s="103"/>
      <c r="B1307" s="104"/>
      <c r="C1307" s="104"/>
      <c r="D1307" s="104"/>
      <c r="E1307" s="92"/>
      <c r="F1307" s="104"/>
      <c r="G1307" s="92"/>
      <c r="H1307" s="90">
        <v>22099</v>
      </c>
      <c r="I1307" s="80" t="s">
        <v>849</v>
      </c>
      <c r="J1307" s="143">
        <v>16961</v>
      </c>
      <c r="K1307" s="143"/>
      <c r="L1307" s="87">
        <v>0</v>
      </c>
      <c r="M1307" s="92" t="str">
        <f t="shared" si="42"/>
        <v/>
      </c>
      <c r="N1307" s="104">
        <v>0</v>
      </c>
      <c r="O1307" s="92" t="str">
        <f t="shared" si="43"/>
        <v/>
      </c>
    </row>
    <row r="1308" spans="1:16" s="112" customFormat="1" ht="18" customHeight="1">
      <c r="A1308" s="111"/>
      <c r="B1308" s="109"/>
      <c r="C1308" s="109"/>
      <c r="D1308" s="109"/>
      <c r="E1308" s="82"/>
      <c r="F1308" s="109"/>
      <c r="G1308" s="82"/>
      <c r="H1308" s="80">
        <v>221</v>
      </c>
      <c r="I1308" s="80" t="s">
        <v>850</v>
      </c>
      <c r="J1308" s="110">
        <f>-500000+936936</f>
        <v>436936</v>
      </c>
      <c r="K1308" s="656">
        <v>693600</v>
      </c>
      <c r="L1308" s="77">
        <v>693238</v>
      </c>
      <c r="M1308" s="82">
        <f t="shared" si="42"/>
        <v>0.99947808535178773</v>
      </c>
      <c r="N1308" s="109">
        <v>402649</v>
      </c>
      <c r="O1308" s="82">
        <f t="shared" si="43"/>
        <v>0.72169308752784689</v>
      </c>
      <c r="P1308" s="84"/>
    </row>
    <row r="1309" spans="1:16" ht="18" customHeight="1">
      <c r="A1309" s="103"/>
      <c r="B1309" s="104"/>
      <c r="C1309" s="104"/>
      <c r="D1309" s="104"/>
      <c r="E1309" s="92"/>
      <c r="F1309" s="104"/>
      <c r="G1309" s="92"/>
      <c r="H1309" s="90">
        <v>22101</v>
      </c>
      <c r="I1309" s="80" t="s">
        <v>851</v>
      </c>
      <c r="J1309" s="143">
        <f>-500000+585995</f>
        <v>85995</v>
      </c>
      <c r="K1309" s="647">
        <v>385187</v>
      </c>
      <c r="L1309" s="87">
        <v>384825</v>
      </c>
      <c r="M1309" s="92">
        <f t="shared" si="42"/>
        <v>0.99906019673561153</v>
      </c>
      <c r="N1309" s="104">
        <v>262349</v>
      </c>
      <c r="O1309" s="92">
        <f t="shared" si="43"/>
        <v>0.46684378442456431</v>
      </c>
    </row>
    <row r="1310" spans="1:16" ht="18" customHeight="1">
      <c r="A1310" s="103"/>
      <c r="B1310" s="104"/>
      <c r="C1310" s="104"/>
      <c r="D1310" s="104"/>
      <c r="E1310" s="92"/>
      <c r="F1310" s="104"/>
      <c r="G1310" s="92"/>
      <c r="H1310" s="90">
        <v>2210101</v>
      </c>
      <c r="I1310" s="90" t="s">
        <v>852</v>
      </c>
      <c r="J1310" s="143">
        <v>0</v>
      </c>
      <c r="K1310" s="143"/>
      <c r="L1310" s="87">
        <v>0</v>
      </c>
      <c r="M1310" s="92" t="str">
        <f t="shared" si="42"/>
        <v/>
      </c>
      <c r="N1310" s="104">
        <v>0</v>
      </c>
      <c r="O1310" s="92" t="str">
        <f t="shared" si="43"/>
        <v/>
      </c>
    </row>
    <row r="1311" spans="1:16" ht="18" customHeight="1">
      <c r="A1311" s="103"/>
      <c r="B1311" s="104"/>
      <c r="C1311" s="104"/>
      <c r="D1311" s="104"/>
      <c r="E1311" s="92"/>
      <c r="F1311" s="104"/>
      <c r="G1311" s="92"/>
      <c r="H1311" s="90">
        <v>2210102</v>
      </c>
      <c r="I1311" s="90" t="s">
        <v>853</v>
      </c>
      <c r="J1311" s="143">
        <v>0</v>
      </c>
      <c r="K1311" s="143"/>
      <c r="L1311" s="87">
        <v>0</v>
      </c>
      <c r="M1311" s="92" t="str">
        <f t="shared" si="42"/>
        <v/>
      </c>
      <c r="N1311" s="104">
        <v>0</v>
      </c>
      <c r="O1311" s="92" t="str">
        <f t="shared" si="43"/>
        <v/>
      </c>
    </row>
    <row r="1312" spans="1:16" ht="18" customHeight="1">
      <c r="A1312" s="103"/>
      <c r="B1312" s="104"/>
      <c r="C1312" s="104"/>
      <c r="D1312" s="104"/>
      <c r="E1312" s="92"/>
      <c r="F1312" s="104"/>
      <c r="G1312" s="92"/>
      <c r="H1312" s="90">
        <v>2210103</v>
      </c>
      <c r="I1312" s="90" t="s">
        <v>854</v>
      </c>
      <c r="J1312" s="143">
        <v>0</v>
      </c>
      <c r="K1312" s="143"/>
      <c r="L1312" s="87">
        <v>0</v>
      </c>
      <c r="M1312" s="92" t="str">
        <f t="shared" si="42"/>
        <v/>
      </c>
      <c r="N1312" s="104">
        <v>0</v>
      </c>
      <c r="O1312" s="92" t="str">
        <f t="shared" si="43"/>
        <v/>
      </c>
    </row>
    <row r="1313" spans="1:16" ht="18" customHeight="1">
      <c r="A1313" s="103"/>
      <c r="B1313" s="104"/>
      <c r="C1313" s="104"/>
      <c r="D1313" s="104"/>
      <c r="E1313" s="92"/>
      <c r="F1313" s="104"/>
      <c r="G1313" s="92"/>
      <c r="H1313" s="90">
        <v>2210104</v>
      </c>
      <c r="I1313" s="90" t="s">
        <v>855</v>
      </c>
      <c r="J1313" s="143">
        <v>0</v>
      </c>
      <c r="K1313" s="143"/>
      <c r="L1313" s="87">
        <v>0</v>
      </c>
      <c r="M1313" s="92" t="str">
        <f t="shared" si="42"/>
        <v/>
      </c>
      <c r="N1313" s="104">
        <v>0</v>
      </c>
      <c r="O1313" s="92" t="str">
        <f t="shared" si="43"/>
        <v/>
      </c>
    </row>
    <row r="1314" spans="1:16" ht="18" customHeight="1">
      <c r="A1314" s="103"/>
      <c r="B1314" s="104"/>
      <c r="C1314" s="104"/>
      <c r="D1314" s="104"/>
      <c r="E1314" s="92"/>
      <c r="F1314" s="104"/>
      <c r="G1314" s="92"/>
      <c r="H1314" s="90">
        <v>2210105</v>
      </c>
      <c r="I1314" s="90" t="s">
        <v>856</v>
      </c>
      <c r="J1314" s="143">
        <v>0</v>
      </c>
      <c r="K1314" s="143"/>
      <c r="L1314" s="87">
        <v>0</v>
      </c>
      <c r="M1314" s="92" t="str">
        <f t="shared" si="42"/>
        <v/>
      </c>
      <c r="N1314" s="104">
        <v>0</v>
      </c>
      <c r="O1314" s="92" t="str">
        <f t="shared" si="43"/>
        <v/>
      </c>
    </row>
    <row r="1315" spans="1:16" ht="18" customHeight="1">
      <c r="A1315" s="103"/>
      <c r="B1315" s="104"/>
      <c r="C1315" s="104"/>
      <c r="D1315" s="104"/>
      <c r="E1315" s="92"/>
      <c r="F1315" s="104"/>
      <c r="G1315" s="92"/>
      <c r="H1315" s="90">
        <v>2210106</v>
      </c>
      <c r="I1315" s="90" t="s">
        <v>857</v>
      </c>
      <c r="J1315" s="143">
        <v>0</v>
      </c>
      <c r="K1315" s="143"/>
      <c r="L1315" s="87">
        <v>0</v>
      </c>
      <c r="M1315" s="92" t="str">
        <f t="shared" si="42"/>
        <v/>
      </c>
      <c r="N1315" s="104">
        <v>0</v>
      </c>
      <c r="O1315" s="92" t="str">
        <f t="shared" si="43"/>
        <v/>
      </c>
    </row>
    <row r="1316" spans="1:16" ht="18" customHeight="1">
      <c r="A1316" s="103"/>
      <c r="B1316" s="104"/>
      <c r="C1316" s="104"/>
      <c r="D1316" s="104"/>
      <c r="E1316" s="92"/>
      <c r="F1316" s="104"/>
      <c r="G1316" s="92"/>
      <c r="H1316" s="90">
        <v>2210107</v>
      </c>
      <c r="I1316" s="90" t="s">
        <v>858</v>
      </c>
      <c r="J1316" s="143">
        <v>0</v>
      </c>
      <c r="K1316" s="143"/>
      <c r="L1316" s="87">
        <v>0</v>
      </c>
      <c r="M1316" s="92" t="str">
        <f t="shared" si="42"/>
        <v/>
      </c>
      <c r="N1316" s="104">
        <v>0</v>
      </c>
      <c r="O1316" s="92" t="str">
        <f t="shared" si="43"/>
        <v/>
      </c>
    </row>
    <row r="1317" spans="1:16" ht="18" customHeight="1">
      <c r="A1317" s="103"/>
      <c r="B1317" s="104"/>
      <c r="C1317" s="104"/>
      <c r="D1317" s="104"/>
      <c r="E1317" s="92"/>
      <c r="F1317" s="104"/>
      <c r="G1317" s="92"/>
      <c r="H1317" s="90">
        <v>2210199</v>
      </c>
      <c r="I1317" s="90" t="s">
        <v>859</v>
      </c>
      <c r="J1317" s="143">
        <f>-500000+585995</f>
        <v>85995</v>
      </c>
      <c r="K1317" s="143"/>
      <c r="L1317" s="87">
        <v>384825</v>
      </c>
      <c r="M1317" s="92" t="str">
        <f t="shared" si="42"/>
        <v/>
      </c>
      <c r="N1317" s="104">
        <v>262349</v>
      </c>
      <c r="O1317" s="92">
        <f t="shared" si="43"/>
        <v>0.46684378442456431</v>
      </c>
    </row>
    <row r="1318" spans="1:16" ht="18" customHeight="1">
      <c r="A1318" s="103"/>
      <c r="B1318" s="104"/>
      <c r="C1318" s="104"/>
      <c r="D1318" s="104"/>
      <c r="E1318" s="92"/>
      <c r="F1318" s="104"/>
      <c r="G1318" s="92"/>
      <c r="H1318" s="90">
        <v>22102</v>
      </c>
      <c r="I1318" s="80" t="s">
        <v>860</v>
      </c>
      <c r="J1318" s="143">
        <v>344067</v>
      </c>
      <c r="K1318" s="647">
        <v>303094</v>
      </c>
      <c r="L1318" s="87">
        <v>303094</v>
      </c>
      <c r="M1318" s="92">
        <f t="shared" si="42"/>
        <v>1</v>
      </c>
      <c r="N1318" s="104">
        <v>134891</v>
      </c>
      <c r="O1318" s="92">
        <f t="shared" si="43"/>
        <v>1.2469549488105209</v>
      </c>
    </row>
    <row r="1319" spans="1:16" ht="18" customHeight="1">
      <c r="A1319" s="103"/>
      <c r="B1319" s="104"/>
      <c r="C1319" s="104"/>
      <c r="D1319" s="104"/>
      <c r="E1319" s="92"/>
      <c r="F1319" s="104"/>
      <c r="G1319" s="92"/>
      <c r="H1319" s="90">
        <v>2210201</v>
      </c>
      <c r="I1319" s="90" t="s">
        <v>861</v>
      </c>
      <c r="J1319" s="143">
        <v>141835</v>
      </c>
      <c r="K1319" s="143"/>
      <c r="L1319" s="87">
        <v>91166</v>
      </c>
      <c r="M1319" s="92" t="str">
        <f t="shared" si="42"/>
        <v/>
      </c>
      <c r="N1319" s="104">
        <v>43347</v>
      </c>
      <c r="O1319" s="92">
        <f t="shared" si="43"/>
        <v>1.1031674625694974</v>
      </c>
      <c r="P1319" s="120"/>
    </row>
    <row r="1320" spans="1:16" ht="18" customHeight="1">
      <c r="A1320" s="103"/>
      <c r="B1320" s="104"/>
      <c r="C1320" s="104"/>
      <c r="D1320" s="104"/>
      <c r="E1320" s="92"/>
      <c r="F1320" s="104"/>
      <c r="G1320" s="92"/>
      <c r="H1320" s="90">
        <v>2210202</v>
      </c>
      <c r="I1320" s="90" t="s">
        <v>862</v>
      </c>
      <c r="J1320" s="143">
        <v>0</v>
      </c>
      <c r="K1320" s="143"/>
      <c r="L1320" s="87">
        <v>0</v>
      </c>
      <c r="M1320" s="92" t="str">
        <f t="shared" si="42"/>
        <v/>
      </c>
      <c r="N1320" s="104">
        <v>0</v>
      </c>
      <c r="O1320" s="92" t="str">
        <f t="shared" si="43"/>
        <v/>
      </c>
      <c r="P1320" s="120"/>
    </row>
    <row r="1321" spans="1:16" ht="18" customHeight="1">
      <c r="A1321" s="103"/>
      <c r="B1321" s="104"/>
      <c r="C1321" s="104"/>
      <c r="D1321" s="104"/>
      <c r="E1321" s="92"/>
      <c r="F1321" s="104"/>
      <c r="G1321" s="92"/>
      <c r="H1321" s="90">
        <v>2210203</v>
      </c>
      <c r="I1321" s="90" t="s">
        <v>863</v>
      </c>
      <c r="J1321" s="143">
        <v>202232</v>
      </c>
      <c r="K1321" s="143"/>
      <c r="L1321" s="87">
        <v>211928</v>
      </c>
      <c r="M1321" s="92" t="str">
        <f t="shared" si="42"/>
        <v/>
      </c>
      <c r="N1321" s="104">
        <v>91544</v>
      </c>
      <c r="O1321" s="92">
        <f t="shared" si="43"/>
        <v>1.315039762300096</v>
      </c>
      <c r="P1321" s="120"/>
    </row>
    <row r="1322" spans="1:16" ht="18" customHeight="1">
      <c r="A1322" s="103"/>
      <c r="B1322" s="104"/>
      <c r="C1322" s="104"/>
      <c r="D1322" s="104"/>
      <c r="E1322" s="92"/>
      <c r="F1322" s="104"/>
      <c r="G1322" s="92"/>
      <c r="H1322" s="90">
        <v>22103</v>
      </c>
      <c r="I1322" s="80" t="s">
        <v>864</v>
      </c>
      <c r="J1322" s="108">
        <v>6874</v>
      </c>
      <c r="K1322" s="647">
        <v>5319</v>
      </c>
      <c r="L1322" s="87">
        <v>5319</v>
      </c>
      <c r="M1322" s="92">
        <f t="shared" si="42"/>
        <v>1</v>
      </c>
      <c r="N1322" s="104">
        <v>5409</v>
      </c>
      <c r="O1322" s="92">
        <f t="shared" si="43"/>
        <v>-1.6638935108153063E-2</v>
      </c>
      <c r="P1322" s="120"/>
    </row>
    <row r="1323" spans="1:16" ht="18" customHeight="1">
      <c r="A1323" s="103"/>
      <c r="B1323" s="104"/>
      <c r="C1323" s="104"/>
      <c r="D1323" s="104"/>
      <c r="E1323" s="92"/>
      <c r="F1323" s="104"/>
      <c r="G1323" s="92"/>
      <c r="H1323" s="90">
        <v>2210301</v>
      </c>
      <c r="I1323" s="90" t="s">
        <v>865</v>
      </c>
      <c r="J1323" s="143">
        <v>0</v>
      </c>
      <c r="K1323" s="143"/>
      <c r="L1323" s="87">
        <v>0</v>
      </c>
      <c r="M1323" s="92" t="str">
        <f t="shared" si="42"/>
        <v/>
      </c>
      <c r="N1323" s="104">
        <v>0</v>
      </c>
      <c r="O1323" s="92" t="str">
        <f t="shared" si="43"/>
        <v/>
      </c>
      <c r="P1323" s="120"/>
    </row>
    <row r="1324" spans="1:16" ht="18" customHeight="1">
      <c r="A1324" s="103"/>
      <c r="B1324" s="104"/>
      <c r="C1324" s="104"/>
      <c r="D1324" s="104"/>
      <c r="E1324" s="92"/>
      <c r="F1324" s="104"/>
      <c r="G1324" s="92"/>
      <c r="H1324" s="90">
        <v>2210399</v>
      </c>
      <c r="I1324" s="90" t="s">
        <v>866</v>
      </c>
      <c r="J1324" s="143">
        <v>6874</v>
      </c>
      <c r="K1324" s="143"/>
      <c r="L1324" s="87">
        <v>5319</v>
      </c>
      <c r="M1324" s="92" t="str">
        <f t="shared" si="42"/>
        <v/>
      </c>
      <c r="N1324" s="104">
        <v>5409</v>
      </c>
      <c r="O1324" s="92">
        <f t="shared" si="43"/>
        <v>-1.6638935108153063E-2</v>
      </c>
      <c r="P1324" s="120"/>
    </row>
    <row r="1325" spans="1:16" s="112" customFormat="1" ht="18" customHeight="1">
      <c r="A1325" s="111"/>
      <c r="B1325" s="109"/>
      <c r="C1325" s="109"/>
      <c r="D1325" s="109"/>
      <c r="E1325" s="82"/>
      <c r="F1325" s="109"/>
      <c r="G1325" s="82"/>
      <c r="H1325" s="80">
        <v>222</v>
      </c>
      <c r="I1325" s="80" t="s">
        <v>867</v>
      </c>
      <c r="J1325" s="110">
        <v>80333</v>
      </c>
      <c r="K1325" s="656">
        <v>137536</v>
      </c>
      <c r="L1325" s="77">
        <v>133786</v>
      </c>
      <c r="M1325" s="82">
        <f t="shared" si="42"/>
        <v>0.9727344113541182</v>
      </c>
      <c r="N1325" s="109">
        <v>24310</v>
      </c>
      <c r="O1325" s="82">
        <f t="shared" si="43"/>
        <v>4.5033319621554915</v>
      </c>
      <c r="P1325" s="84"/>
    </row>
    <row r="1326" spans="1:16" ht="18" customHeight="1">
      <c r="A1326" s="103"/>
      <c r="B1326" s="104"/>
      <c r="C1326" s="104"/>
      <c r="D1326" s="104"/>
      <c r="E1326" s="92"/>
      <c r="F1326" s="104"/>
      <c r="G1326" s="92"/>
      <c r="H1326" s="90">
        <v>22201</v>
      </c>
      <c r="I1326" s="80" t="s">
        <v>868</v>
      </c>
      <c r="J1326" s="143">
        <v>0</v>
      </c>
      <c r="K1326" s="143"/>
      <c r="L1326" s="87">
        <v>0</v>
      </c>
      <c r="M1326" s="92" t="str">
        <f t="shared" si="42"/>
        <v/>
      </c>
      <c r="N1326" s="104">
        <v>22800</v>
      </c>
      <c r="O1326" s="92">
        <f t="shared" si="43"/>
        <v>-1</v>
      </c>
    </row>
    <row r="1327" spans="1:16" ht="18" customHeight="1">
      <c r="A1327" s="103"/>
      <c r="B1327" s="104"/>
      <c r="C1327" s="104"/>
      <c r="D1327" s="104"/>
      <c r="E1327" s="92"/>
      <c r="F1327" s="104"/>
      <c r="G1327" s="92"/>
      <c r="H1327" s="90">
        <v>2220101</v>
      </c>
      <c r="I1327" s="90" t="s">
        <v>1110</v>
      </c>
      <c r="J1327" s="143">
        <v>0</v>
      </c>
      <c r="K1327" s="143"/>
      <c r="L1327" s="87">
        <v>0</v>
      </c>
      <c r="M1327" s="92" t="str">
        <f t="shared" si="42"/>
        <v/>
      </c>
      <c r="N1327" s="104">
        <v>0</v>
      </c>
      <c r="O1327" s="92" t="str">
        <f t="shared" si="43"/>
        <v/>
      </c>
    </row>
    <row r="1328" spans="1:16" ht="18" customHeight="1">
      <c r="A1328" s="103"/>
      <c r="B1328" s="104"/>
      <c r="C1328" s="104"/>
      <c r="D1328" s="104"/>
      <c r="E1328" s="92"/>
      <c r="F1328" s="104"/>
      <c r="G1328" s="92"/>
      <c r="H1328" s="90">
        <v>2220102</v>
      </c>
      <c r="I1328" s="90" t="s">
        <v>1111</v>
      </c>
      <c r="J1328" s="143">
        <v>0</v>
      </c>
      <c r="K1328" s="143"/>
      <c r="L1328" s="87">
        <v>0</v>
      </c>
      <c r="M1328" s="92" t="str">
        <f t="shared" si="42"/>
        <v/>
      </c>
      <c r="N1328" s="104">
        <v>0</v>
      </c>
      <c r="O1328" s="92" t="str">
        <f t="shared" si="43"/>
        <v/>
      </c>
    </row>
    <row r="1329" spans="1:15" ht="18" customHeight="1">
      <c r="A1329" s="103"/>
      <c r="B1329" s="104"/>
      <c r="C1329" s="104"/>
      <c r="D1329" s="104"/>
      <c r="E1329" s="92"/>
      <c r="F1329" s="104"/>
      <c r="G1329" s="92"/>
      <c r="H1329" s="90">
        <v>2220103</v>
      </c>
      <c r="I1329" s="90" t="s">
        <v>1112</v>
      </c>
      <c r="J1329" s="143">
        <v>0</v>
      </c>
      <c r="K1329" s="143"/>
      <c r="L1329" s="87">
        <v>0</v>
      </c>
      <c r="M1329" s="92" t="str">
        <f t="shared" si="42"/>
        <v/>
      </c>
      <c r="N1329" s="104">
        <v>0</v>
      </c>
      <c r="O1329" s="92" t="str">
        <f t="shared" si="43"/>
        <v/>
      </c>
    </row>
    <row r="1330" spans="1:15" ht="18" customHeight="1">
      <c r="A1330" s="103"/>
      <c r="B1330" s="104"/>
      <c r="C1330" s="104"/>
      <c r="D1330" s="104"/>
      <c r="E1330" s="92"/>
      <c r="F1330" s="104"/>
      <c r="G1330" s="92"/>
      <c r="H1330" s="90">
        <v>2220104</v>
      </c>
      <c r="I1330" s="90" t="s">
        <v>869</v>
      </c>
      <c r="J1330" s="143">
        <v>0</v>
      </c>
      <c r="K1330" s="143"/>
      <c r="L1330" s="87">
        <v>0</v>
      </c>
      <c r="M1330" s="92" t="str">
        <f t="shared" si="42"/>
        <v/>
      </c>
      <c r="N1330" s="104">
        <v>0</v>
      </c>
      <c r="O1330" s="92" t="str">
        <f t="shared" si="43"/>
        <v/>
      </c>
    </row>
    <row r="1331" spans="1:15" ht="18" customHeight="1">
      <c r="A1331" s="103"/>
      <c r="B1331" s="104"/>
      <c r="C1331" s="104"/>
      <c r="D1331" s="104"/>
      <c r="E1331" s="92"/>
      <c r="F1331" s="104"/>
      <c r="G1331" s="92"/>
      <c r="H1331" s="90">
        <v>2220105</v>
      </c>
      <c r="I1331" s="90" t="s">
        <v>870</v>
      </c>
      <c r="J1331" s="143">
        <v>0</v>
      </c>
      <c r="K1331" s="143"/>
      <c r="L1331" s="87">
        <v>0</v>
      </c>
      <c r="M1331" s="92" t="str">
        <f t="shared" si="42"/>
        <v/>
      </c>
      <c r="N1331" s="104">
        <v>0</v>
      </c>
      <c r="O1331" s="92" t="str">
        <f t="shared" si="43"/>
        <v/>
      </c>
    </row>
    <row r="1332" spans="1:15" ht="18" customHeight="1">
      <c r="A1332" s="103"/>
      <c r="B1332" s="104"/>
      <c r="C1332" s="104"/>
      <c r="D1332" s="104"/>
      <c r="E1332" s="92"/>
      <c r="F1332" s="104"/>
      <c r="G1332" s="92"/>
      <c r="H1332" s="90">
        <v>2220106</v>
      </c>
      <c r="I1332" s="90" t="s">
        <v>871</v>
      </c>
      <c r="J1332" s="143">
        <v>0</v>
      </c>
      <c r="K1332" s="143"/>
      <c r="L1332" s="87">
        <v>0</v>
      </c>
      <c r="M1332" s="92" t="str">
        <f t="shared" si="42"/>
        <v/>
      </c>
      <c r="N1332" s="104">
        <v>0</v>
      </c>
      <c r="O1332" s="92" t="str">
        <f t="shared" si="43"/>
        <v/>
      </c>
    </row>
    <row r="1333" spans="1:15" ht="18" customHeight="1">
      <c r="A1333" s="103"/>
      <c r="B1333" s="104"/>
      <c r="C1333" s="104"/>
      <c r="D1333" s="104"/>
      <c r="E1333" s="92"/>
      <c r="F1333" s="104"/>
      <c r="G1333" s="92"/>
      <c r="H1333" s="90">
        <v>2220107</v>
      </c>
      <c r="I1333" s="90" t="s">
        <v>872</v>
      </c>
      <c r="J1333" s="143">
        <v>0</v>
      </c>
      <c r="K1333" s="143"/>
      <c r="L1333" s="87">
        <v>0</v>
      </c>
      <c r="M1333" s="92" t="str">
        <f t="shared" si="42"/>
        <v/>
      </c>
      <c r="N1333" s="104">
        <v>0</v>
      </c>
      <c r="O1333" s="92" t="str">
        <f t="shared" si="43"/>
        <v/>
      </c>
    </row>
    <row r="1334" spans="1:15" ht="18" customHeight="1">
      <c r="A1334" s="103"/>
      <c r="B1334" s="104"/>
      <c r="C1334" s="104"/>
      <c r="D1334" s="104"/>
      <c r="E1334" s="92"/>
      <c r="F1334" s="104"/>
      <c r="G1334" s="92"/>
      <c r="H1334" s="90">
        <v>2220112</v>
      </c>
      <c r="I1334" s="90" t="s">
        <v>873</v>
      </c>
      <c r="J1334" s="143">
        <v>0</v>
      </c>
      <c r="K1334" s="143"/>
      <c r="L1334" s="87">
        <v>0</v>
      </c>
      <c r="M1334" s="92" t="str">
        <f t="shared" si="42"/>
        <v/>
      </c>
      <c r="N1334" s="104">
        <v>0</v>
      </c>
      <c r="O1334" s="92" t="str">
        <f t="shared" si="43"/>
        <v/>
      </c>
    </row>
    <row r="1335" spans="1:15" ht="18" customHeight="1">
      <c r="A1335" s="103"/>
      <c r="B1335" s="104"/>
      <c r="C1335" s="104"/>
      <c r="D1335" s="104"/>
      <c r="E1335" s="92"/>
      <c r="F1335" s="104"/>
      <c r="G1335" s="92"/>
      <c r="H1335" s="90">
        <v>2220113</v>
      </c>
      <c r="I1335" s="90" t="s">
        <v>874</v>
      </c>
      <c r="J1335" s="143">
        <v>0</v>
      </c>
      <c r="K1335" s="143"/>
      <c r="L1335" s="87">
        <v>0</v>
      </c>
      <c r="M1335" s="92" t="str">
        <f t="shared" si="42"/>
        <v/>
      </c>
      <c r="N1335" s="104">
        <v>0</v>
      </c>
      <c r="O1335" s="92" t="str">
        <f t="shared" si="43"/>
        <v/>
      </c>
    </row>
    <row r="1336" spans="1:15" ht="18" customHeight="1">
      <c r="A1336" s="103"/>
      <c r="B1336" s="104"/>
      <c r="C1336" s="104"/>
      <c r="D1336" s="104"/>
      <c r="E1336" s="92"/>
      <c r="F1336" s="104"/>
      <c r="G1336" s="92"/>
      <c r="H1336" s="90">
        <v>2220114</v>
      </c>
      <c r="I1336" s="90" t="s">
        <v>875</v>
      </c>
      <c r="J1336" s="143">
        <v>0</v>
      </c>
      <c r="K1336" s="143"/>
      <c r="L1336" s="87">
        <v>0</v>
      </c>
      <c r="M1336" s="92" t="str">
        <f t="shared" si="42"/>
        <v/>
      </c>
      <c r="N1336" s="104">
        <v>0</v>
      </c>
      <c r="O1336" s="92" t="str">
        <f t="shared" si="43"/>
        <v/>
      </c>
    </row>
    <row r="1337" spans="1:15" ht="18" customHeight="1">
      <c r="A1337" s="103"/>
      <c r="B1337" s="104"/>
      <c r="C1337" s="104"/>
      <c r="D1337" s="104"/>
      <c r="E1337" s="92"/>
      <c r="F1337" s="104"/>
      <c r="G1337" s="92"/>
      <c r="H1337" s="90">
        <v>2220115</v>
      </c>
      <c r="I1337" s="90" t="s">
        <v>876</v>
      </c>
      <c r="J1337" s="143">
        <v>0</v>
      </c>
      <c r="K1337" s="143"/>
      <c r="L1337" s="87">
        <v>0</v>
      </c>
      <c r="M1337" s="92" t="str">
        <f t="shared" si="42"/>
        <v/>
      </c>
      <c r="N1337" s="104">
        <v>0</v>
      </c>
      <c r="O1337" s="92" t="str">
        <f t="shared" si="43"/>
        <v/>
      </c>
    </row>
    <row r="1338" spans="1:15" ht="18" customHeight="1">
      <c r="A1338" s="103"/>
      <c r="B1338" s="104"/>
      <c r="C1338" s="104"/>
      <c r="D1338" s="104"/>
      <c r="E1338" s="92"/>
      <c r="F1338" s="104"/>
      <c r="G1338" s="92"/>
      <c r="H1338" s="90">
        <v>2220118</v>
      </c>
      <c r="I1338" s="90" t="s">
        <v>877</v>
      </c>
      <c r="J1338" s="143">
        <v>0</v>
      </c>
      <c r="K1338" s="143"/>
      <c r="L1338" s="87">
        <v>0</v>
      </c>
      <c r="M1338" s="92" t="str">
        <f t="shared" si="42"/>
        <v/>
      </c>
      <c r="N1338" s="104">
        <v>0</v>
      </c>
      <c r="O1338" s="92" t="str">
        <f t="shared" si="43"/>
        <v/>
      </c>
    </row>
    <row r="1339" spans="1:15" ht="18" customHeight="1">
      <c r="A1339" s="103"/>
      <c r="B1339" s="104"/>
      <c r="C1339" s="104"/>
      <c r="D1339" s="104"/>
      <c r="E1339" s="92"/>
      <c r="F1339" s="104"/>
      <c r="G1339" s="92"/>
      <c r="H1339" s="90">
        <v>2220150</v>
      </c>
      <c r="I1339" s="90" t="s">
        <v>1119</v>
      </c>
      <c r="J1339" s="143">
        <v>0</v>
      </c>
      <c r="K1339" s="143"/>
      <c r="L1339" s="87">
        <v>0</v>
      </c>
      <c r="M1339" s="92" t="str">
        <f t="shared" si="42"/>
        <v/>
      </c>
      <c r="N1339" s="104">
        <v>0</v>
      </c>
      <c r="O1339" s="92" t="str">
        <f t="shared" si="43"/>
        <v/>
      </c>
    </row>
    <row r="1340" spans="1:15" ht="18" customHeight="1">
      <c r="A1340" s="103"/>
      <c r="B1340" s="104"/>
      <c r="C1340" s="104"/>
      <c r="D1340" s="104"/>
      <c r="E1340" s="92"/>
      <c r="F1340" s="104"/>
      <c r="G1340" s="92"/>
      <c r="H1340" s="90">
        <v>2220199</v>
      </c>
      <c r="I1340" s="90" t="s">
        <v>878</v>
      </c>
      <c r="J1340" s="143">
        <v>0</v>
      </c>
      <c r="K1340" s="143"/>
      <c r="L1340" s="87">
        <v>0</v>
      </c>
      <c r="M1340" s="92" t="str">
        <f t="shared" si="42"/>
        <v/>
      </c>
      <c r="N1340" s="104">
        <v>22800</v>
      </c>
      <c r="O1340" s="92">
        <f t="shared" si="43"/>
        <v>-1</v>
      </c>
    </row>
    <row r="1341" spans="1:15" ht="18" customHeight="1">
      <c r="A1341" s="103"/>
      <c r="B1341" s="104"/>
      <c r="C1341" s="104"/>
      <c r="D1341" s="104"/>
      <c r="E1341" s="92"/>
      <c r="F1341" s="104"/>
      <c r="G1341" s="92"/>
      <c r="H1341" s="90">
        <v>22202</v>
      </c>
      <c r="I1341" s="80" t="s">
        <v>879</v>
      </c>
      <c r="J1341" s="143">
        <v>0</v>
      </c>
      <c r="K1341" s="647">
        <v>23540</v>
      </c>
      <c r="L1341" s="87">
        <v>23540</v>
      </c>
      <c r="M1341" s="92">
        <f t="shared" si="42"/>
        <v>1</v>
      </c>
      <c r="N1341" s="104">
        <v>1510</v>
      </c>
      <c r="O1341" s="92">
        <f t="shared" si="43"/>
        <v>14.589403973509933</v>
      </c>
    </row>
    <row r="1342" spans="1:15" ht="18" customHeight="1">
      <c r="A1342" s="103"/>
      <c r="B1342" s="104"/>
      <c r="C1342" s="104"/>
      <c r="D1342" s="104"/>
      <c r="E1342" s="92"/>
      <c r="F1342" s="104"/>
      <c r="G1342" s="92"/>
      <c r="H1342" s="90">
        <v>2220201</v>
      </c>
      <c r="I1342" s="90" t="s">
        <v>1110</v>
      </c>
      <c r="J1342" s="143">
        <v>0</v>
      </c>
      <c r="K1342" s="143"/>
      <c r="L1342" s="87">
        <v>0</v>
      </c>
      <c r="M1342" s="92" t="str">
        <f t="shared" si="42"/>
        <v/>
      </c>
      <c r="N1342" s="104">
        <v>0</v>
      </c>
      <c r="O1342" s="92" t="str">
        <f t="shared" si="43"/>
        <v/>
      </c>
    </row>
    <row r="1343" spans="1:15" ht="18" customHeight="1">
      <c r="A1343" s="103"/>
      <c r="B1343" s="104"/>
      <c r="C1343" s="104"/>
      <c r="D1343" s="104"/>
      <c r="E1343" s="92"/>
      <c r="F1343" s="104"/>
      <c r="G1343" s="92"/>
      <c r="H1343" s="90">
        <v>2220202</v>
      </c>
      <c r="I1343" s="90" t="s">
        <v>1111</v>
      </c>
      <c r="J1343" s="143">
        <v>0</v>
      </c>
      <c r="K1343" s="143"/>
      <c r="L1343" s="87">
        <v>0</v>
      </c>
      <c r="M1343" s="92" t="str">
        <f t="shared" si="42"/>
        <v/>
      </c>
      <c r="N1343" s="104">
        <v>0</v>
      </c>
      <c r="O1343" s="92" t="str">
        <f t="shared" si="43"/>
        <v/>
      </c>
    </row>
    <row r="1344" spans="1:15" ht="18" customHeight="1">
      <c r="A1344" s="103"/>
      <c r="B1344" s="104"/>
      <c r="C1344" s="104"/>
      <c r="D1344" s="104"/>
      <c r="E1344" s="92"/>
      <c r="F1344" s="104"/>
      <c r="G1344" s="92"/>
      <c r="H1344" s="90">
        <v>2220203</v>
      </c>
      <c r="I1344" s="90" t="s">
        <v>1112</v>
      </c>
      <c r="J1344" s="143">
        <v>0</v>
      </c>
      <c r="K1344" s="143"/>
      <c r="L1344" s="87">
        <v>0</v>
      </c>
      <c r="M1344" s="92" t="str">
        <f t="shared" si="42"/>
        <v/>
      </c>
      <c r="N1344" s="104">
        <v>0</v>
      </c>
      <c r="O1344" s="92" t="str">
        <f t="shared" si="43"/>
        <v/>
      </c>
    </row>
    <row r="1345" spans="1:15" ht="18" customHeight="1">
      <c r="A1345" s="103"/>
      <c r="B1345" s="104"/>
      <c r="C1345" s="104"/>
      <c r="D1345" s="104"/>
      <c r="E1345" s="92"/>
      <c r="F1345" s="104"/>
      <c r="G1345" s="92"/>
      <c r="H1345" s="90">
        <v>2220204</v>
      </c>
      <c r="I1345" s="90" t="s">
        <v>880</v>
      </c>
      <c r="J1345" s="143">
        <v>0</v>
      </c>
      <c r="K1345" s="143"/>
      <c r="L1345" s="87">
        <v>0</v>
      </c>
      <c r="M1345" s="92" t="str">
        <f t="shared" si="42"/>
        <v/>
      </c>
      <c r="N1345" s="104">
        <v>0</v>
      </c>
      <c r="O1345" s="92" t="str">
        <f t="shared" si="43"/>
        <v/>
      </c>
    </row>
    <row r="1346" spans="1:15" ht="18" customHeight="1">
      <c r="A1346" s="103"/>
      <c r="B1346" s="104"/>
      <c r="C1346" s="104"/>
      <c r="D1346" s="104"/>
      <c r="E1346" s="92"/>
      <c r="F1346" s="104"/>
      <c r="G1346" s="92"/>
      <c r="H1346" s="90">
        <v>2220205</v>
      </c>
      <c r="I1346" s="90" t="s">
        <v>881</v>
      </c>
      <c r="J1346" s="143">
        <v>0</v>
      </c>
      <c r="K1346" s="143"/>
      <c r="L1346" s="87">
        <v>0</v>
      </c>
      <c r="M1346" s="92" t="str">
        <f t="shared" si="42"/>
        <v/>
      </c>
      <c r="N1346" s="104">
        <v>0</v>
      </c>
      <c r="O1346" s="92" t="str">
        <f t="shared" si="43"/>
        <v/>
      </c>
    </row>
    <row r="1347" spans="1:15" ht="18" customHeight="1">
      <c r="A1347" s="103"/>
      <c r="B1347" s="104"/>
      <c r="C1347" s="104"/>
      <c r="D1347" s="104"/>
      <c r="E1347" s="92"/>
      <c r="F1347" s="104"/>
      <c r="G1347" s="92"/>
      <c r="H1347" s="90">
        <v>2220206</v>
      </c>
      <c r="I1347" s="90" t="s">
        <v>882</v>
      </c>
      <c r="J1347" s="143">
        <v>0</v>
      </c>
      <c r="K1347" s="143"/>
      <c r="L1347" s="87">
        <v>0</v>
      </c>
      <c r="M1347" s="92" t="str">
        <f t="shared" si="42"/>
        <v/>
      </c>
      <c r="N1347" s="104">
        <v>0</v>
      </c>
      <c r="O1347" s="92" t="str">
        <f t="shared" si="43"/>
        <v/>
      </c>
    </row>
    <row r="1348" spans="1:15" ht="18" customHeight="1">
      <c r="A1348" s="103"/>
      <c r="B1348" s="104"/>
      <c r="C1348" s="104"/>
      <c r="D1348" s="104"/>
      <c r="E1348" s="92"/>
      <c r="F1348" s="104"/>
      <c r="G1348" s="92"/>
      <c r="H1348" s="90">
        <v>2220207</v>
      </c>
      <c r="I1348" s="90" t="s">
        <v>883</v>
      </c>
      <c r="J1348" s="143">
        <v>0</v>
      </c>
      <c r="K1348" s="143"/>
      <c r="L1348" s="87">
        <v>0</v>
      </c>
      <c r="M1348" s="92" t="str">
        <f t="shared" si="42"/>
        <v/>
      </c>
      <c r="N1348" s="104">
        <v>0</v>
      </c>
      <c r="O1348" s="92" t="str">
        <f t="shared" si="43"/>
        <v/>
      </c>
    </row>
    <row r="1349" spans="1:15" ht="18" customHeight="1">
      <c r="A1349" s="103"/>
      <c r="B1349" s="104"/>
      <c r="C1349" s="104"/>
      <c r="D1349" s="104"/>
      <c r="E1349" s="92"/>
      <c r="F1349" s="104"/>
      <c r="G1349" s="92"/>
      <c r="H1349" s="90">
        <v>2220209</v>
      </c>
      <c r="I1349" s="90" t="s">
        <v>884</v>
      </c>
      <c r="J1349" s="143">
        <v>0</v>
      </c>
      <c r="K1349" s="143"/>
      <c r="L1349" s="87">
        <v>0</v>
      </c>
      <c r="M1349" s="92" t="str">
        <f t="shared" si="42"/>
        <v/>
      </c>
      <c r="N1349" s="104">
        <v>0</v>
      </c>
      <c r="O1349" s="92" t="str">
        <f t="shared" si="43"/>
        <v/>
      </c>
    </row>
    <row r="1350" spans="1:15" ht="18" customHeight="1">
      <c r="A1350" s="103"/>
      <c r="B1350" s="104"/>
      <c r="C1350" s="104"/>
      <c r="D1350" s="104"/>
      <c r="E1350" s="92"/>
      <c r="F1350" s="104"/>
      <c r="G1350" s="92"/>
      <c r="H1350" s="90">
        <v>2220210</v>
      </c>
      <c r="I1350" s="90" t="s">
        <v>885</v>
      </c>
      <c r="J1350" s="143">
        <v>0</v>
      </c>
      <c r="K1350" s="143"/>
      <c r="L1350" s="87">
        <v>0</v>
      </c>
      <c r="M1350" s="92" t="str">
        <f t="shared" ref="M1350:M1388" si="44">+IF(ISERROR(L1350/K1350),"",L1350/K1350)</f>
        <v/>
      </c>
      <c r="N1350" s="104">
        <v>0</v>
      </c>
      <c r="O1350" s="92" t="str">
        <f t="shared" si="43"/>
        <v/>
      </c>
    </row>
    <row r="1351" spans="1:15" ht="18" customHeight="1">
      <c r="A1351" s="103"/>
      <c r="B1351" s="104"/>
      <c r="C1351" s="104"/>
      <c r="D1351" s="104"/>
      <c r="E1351" s="92"/>
      <c r="F1351" s="104"/>
      <c r="G1351" s="92"/>
      <c r="H1351" s="90">
        <v>2220211</v>
      </c>
      <c r="I1351" s="90" t="s">
        <v>886</v>
      </c>
      <c r="J1351" s="143">
        <v>0</v>
      </c>
      <c r="K1351" s="143"/>
      <c r="L1351" s="87">
        <v>0</v>
      </c>
      <c r="M1351" s="92" t="str">
        <f t="shared" si="44"/>
        <v/>
      </c>
      <c r="N1351" s="104">
        <v>0</v>
      </c>
      <c r="O1351" s="92" t="str">
        <f t="shared" ref="O1351:O1388" si="45">IF(ISERROR(L1351/N1351-1),"",(L1351/N1351-1))</f>
        <v/>
      </c>
    </row>
    <row r="1352" spans="1:15" ht="18" customHeight="1">
      <c r="A1352" s="103"/>
      <c r="B1352" s="104"/>
      <c r="C1352" s="104"/>
      <c r="D1352" s="104"/>
      <c r="E1352" s="92"/>
      <c r="F1352" s="104"/>
      <c r="G1352" s="92"/>
      <c r="H1352" s="90">
        <v>2220212</v>
      </c>
      <c r="I1352" s="90" t="s">
        <v>887</v>
      </c>
      <c r="J1352" s="143">
        <v>0</v>
      </c>
      <c r="K1352" s="143"/>
      <c r="L1352" s="87">
        <v>0</v>
      </c>
      <c r="M1352" s="92" t="str">
        <f t="shared" si="44"/>
        <v/>
      </c>
      <c r="N1352" s="104">
        <v>0</v>
      </c>
      <c r="O1352" s="92" t="str">
        <f t="shared" si="45"/>
        <v/>
      </c>
    </row>
    <row r="1353" spans="1:15" ht="18" customHeight="1">
      <c r="A1353" s="103"/>
      <c r="B1353" s="104"/>
      <c r="C1353" s="104"/>
      <c r="D1353" s="104"/>
      <c r="E1353" s="92"/>
      <c r="F1353" s="104"/>
      <c r="G1353" s="92"/>
      <c r="H1353" s="90">
        <v>2220250</v>
      </c>
      <c r="I1353" s="90" t="s">
        <v>1119</v>
      </c>
      <c r="J1353" s="143">
        <v>0</v>
      </c>
      <c r="K1353" s="143"/>
      <c r="L1353" s="87">
        <v>0</v>
      </c>
      <c r="M1353" s="92" t="str">
        <f t="shared" si="44"/>
        <v/>
      </c>
      <c r="N1353" s="104">
        <v>0</v>
      </c>
      <c r="O1353" s="92" t="str">
        <f t="shared" si="45"/>
        <v/>
      </c>
    </row>
    <row r="1354" spans="1:15" ht="18" customHeight="1">
      <c r="A1354" s="103"/>
      <c r="B1354" s="104"/>
      <c r="C1354" s="104"/>
      <c r="D1354" s="104"/>
      <c r="E1354" s="92"/>
      <c r="F1354" s="104"/>
      <c r="G1354" s="92"/>
      <c r="H1354" s="90">
        <v>2220299</v>
      </c>
      <c r="I1354" s="90" t="s">
        <v>888</v>
      </c>
      <c r="J1354" s="143">
        <v>0</v>
      </c>
      <c r="K1354" s="143"/>
      <c r="L1354" s="87">
        <v>23540</v>
      </c>
      <c r="M1354" s="92" t="str">
        <f t="shared" si="44"/>
        <v/>
      </c>
      <c r="N1354" s="104">
        <v>1510</v>
      </c>
      <c r="O1354" s="92">
        <f t="shared" si="45"/>
        <v>14.589403973509933</v>
      </c>
    </row>
    <row r="1355" spans="1:15" ht="18" customHeight="1">
      <c r="A1355" s="103"/>
      <c r="B1355" s="104"/>
      <c r="C1355" s="104"/>
      <c r="D1355" s="104"/>
      <c r="E1355" s="92"/>
      <c r="F1355" s="104"/>
      <c r="G1355" s="92"/>
      <c r="H1355" s="90">
        <v>22203</v>
      </c>
      <c r="I1355" s="80" t="s">
        <v>889</v>
      </c>
      <c r="J1355" s="143">
        <v>0</v>
      </c>
      <c r="K1355" s="143"/>
      <c r="L1355" s="87">
        <v>0</v>
      </c>
      <c r="M1355" s="92" t="str">
        <f t="shared" si="44"/>
        <v/>
      </c>
      <c r="N1355" s="104">
        <v>0</v>
      </c>
      <c r="O1355" s="92" t="str">
        <f t="shared" si="45"/>
        <v/>
      </c>
    </row>
    <row r="1356" spans="1:15" ht="18" customHeight="1">
      <c r="A1356" s="103"/>
      <c r="B1356" s="104"/>
      <c r="C1356" s="104"/>
      <c r="D1356" s="104"/>
      <c r="E1356" s="92"/>
      <c r="F1356" s="104"/>
      <c r="G1356" s="92"/>
      <c r="H1356" s="90">
        <v>2220301</v>
      </c>
      <c r="I1356" s="90" t="s">
        <v>890</v>
      </c>
      <c r="J1356" s="143">
        <v>0</v>
      </c>
      <c r="K1356" s="143"/>
      <c r="L1356" s="87">
        <v>0</v>
      </c>
      <c r="M1356" s="92" t="str">
        <f t="shared" si="44"/>
        <v/>
      </c>
      <c r="N1356" s="104">
        <v>0</v>
      </c>
      <c r="O1356" s="92" t="str">
        <f t="shared" si="45"/>
        <v/>
      </c>
    </row>
    <row r="1357" spans="1:15" ht="18" customHeight="1">
      <c r="A1357" s="103"/>
      <c r="B1357" s="104"/>
      <c r="C1357" s="104"/>
      <c r="D1357" s="104"/>
      <c r="E1357" s="92"/>
      <c r="F1357" s="104"/>
      <c r="G1357" s="92"/>
      <c r="H1357" s="90">
        <v>2220302</v>
      </c>
      <c r="I1357" s="90" t="s">
        <v>891</v>
      </c>
      <c r="J1357" s="143">
        <v>0</v>
      </c>
      <c r="K1357" s="143"/>
      <c r="L1357" s="87">
        <v>0</v>
      </c>
      <c r="M1357" s="92" t="str">
        <f t="shared" si="44"/>
        <v/>
      </c>
      <c r="N1357" s="104">
        <v>0</v>
      </c>
      <c r="O1357" s="92" t="str">
        <f t="shared" si="45"/>
        <v/>
      </c>
    </row>
    <row r="1358" spans="1:15" ht="18" customHeight="1">
      <c r="A1358" s="103"/>
      <c r="B1358" s="104"/>
      <c r="C1358" s="104"/>
      <c r="D1358" s="104"/>
      <c r="E1358" s="92"/>
      <c r="F1358" s="104"/>
      <c r="G1358" s="92"/>
      <c r="H1358" s="90">
        <v>2220303</v>
      </c>
      <c r="I1358" s="90" t="s">
        <v>892</v>
      </c>
      <c r="J1358" s="143">
        <v>0</v>
      </c>
      <c r="K1358" s="143"/>
      <c r="L1358" s="87">
        <v>0</v>
      </c>
      <c r="M1358" s="92" t="str">
        <f t="shared" si="44"/>
        <v/>
      </c>
      <c r="N1358" s="104">
        <v>0</v>
      </c>
      <c r="O1358" s="92" t="str">
        <f t="shared" si="45"/>
        <v/>
      </c>
    </row>
    <row r="1359" spans="1:15" ht="18" customHeight="1">
      <c r="A1359" s="103"/>
      <c r="B1359" s="104"/>
      <c r="C1359" s="104"/>
      <c r="D1359" s="104"/>
      <c r="E1359" s="92"/>
      <c r="F1359" s="104"/>
      <c r="G1359" s="92"/>
      <c r="H1359" s="90">
        <v>2220304</v>
      </c>
      <c r="I1359" s="90" t="s">
        <v>893</v>
      </c>
      <c r="J1359" s="143">
        <v>0</v>
      </c>
      <c r="K1359" s="143"/>
      <c r="L1359" s="87">
        <v>0</v>
      </c>
      <c r="M1359" s="92" t="str">
        <f t="shared" si="44"/>
        <v/>
      </c>
      <c r="N1359" s="104">
        <v>0</v>
      </c>
      <c r="O1359" s="92" t="str">
        <f t="shared" si="45"/>
        <v/>
      </c>
    </row>
    <row r="1360" spans="1:15" ht="18" customHeight="1">
      <c r="A1360" s="103"/>
      <c r="B1360" s="104"/>
      <c r="C1360" s="104"/>
      <c r="D1360" s="104"/>
      <c r="E1360" s="92"/>
      <c r="F1360" s="104"/>
      <c r="G1360" s="92"/>
      <c r="H1360" s="90">
        <v>2220399</v>
      </c>
      <c r="I1360" s="90" t="s">
        <v>894</v>
      </c>
      <c r="J1360" s="143">
        <v>0</v>
      </c>
      <c r="K1360" s="143"/>
      <c r="L1360" s="87">
        <v>0</v>
      </c>
      <c r="M1360" s="92" t="str">
        <f t="shared" si="44"/>
        <v/>
      </c>
      <c r="N1360" s="104">
        <v>0</v>
      </c>
      <c r="O1360" s="92" t="str">
        <f t="shared" si="45"/>
        <v/>
      </c>
    </row>
    <row r="1361" spans="1:15" ht="18" customHeight="1">
      <c r="A1361" s="103"/>
      <c r="B1361" s="104"/>
      <c r="C1361" s="104"/>
      <c r="D1361" s="104"/>
      <c r="E1361" s="92"/>
      <c r="F1361" s="104"/>
      <c r="G1361" s="92"/>
      <c r="H1361" s="90">
        <v>22204</v>
      </c>
      <c r="I1361" s="80" t="s">
        <v>895</v>
      </c>
      <c r="J1361" s="108">
        <v>77000</v>
      </c>
      <c r="K1361" s="658">
        <v>112295</v>
      </c>
      <c r="L1361" s="87">
        <v>108545</v>
      </c>
      <c r="M1361" s="92">
        <f t="shared" si="44"/>
        <v>0.96660581504074095</v>
      </c>
      <c r="N1361" s="104">
        <v>0</v>
      </c>
      <c r="O1361" s="92" t="str">
        <f t="shared" si="45"/>
        <v/>
      </c>
    </row>
    <row r="1362" spans="1:15" ht="18" customHeight="1">
      <c r="A1362" s="103"/>
      <c r="B1362" s="104"/>
      <c r="C1362" s="104"/>
      <c r="D1362" s="104"/>
      <c r="E1362" s="92"/>
      <c r="F1362" s="104"/>
      <c r="G1362" s="92"/>
      <c r="H1362" s="90">
        <v>2220401</v>
      </c>
      <c r="I1362" s="90" t="s">
        <v>896</v>
      </c>
      <c r="J1362" s="143">
        <v>77000</v>
      </c>
      <c r="K1362" s="143"/>
      <c r="L1362" s="87">
        <v>8545</v>
      </c>
      <c r="M1362" s="92" t="str">
        <f t="shared" si="44"/>
        <v/>
      </c>
      <c r="N1362" s="104">
        <v>0</v>
      </c>
      <c r="O1362" s="92" t="str">
        <f t="shared" si="45"/>
        <v/>
      </c>
    </row>
    <row r="1363" spans="1:15" ht="18" customHeight="1">
      <c r="A1363" s="103"/>
      <c r="B1363" s="104"/>
      <c r="C1363" s="104"/>
      <c r="D1363" s="104"/>
      <c r="E1363" s="92"/>
      <c r="F1363" s="104"/>
      <c r="G1363" s="92"/>
      <c r="H1363" s="90">
        <v>2220402</v>
      </c>
      <c r="I1363" s="90" t="s">
        <v>897</v>
      </c>
      <c r="J1363" s="143">
        <v>0</v>
      </c>
      <c r="K1363" s="143"/>
      <c r="L1363" s="87">
        <v>0</v>
      </c>
      <c r="M1363" s="92" t="str">
        <f t="shared" si="44"/>
        <v/>
      </c>
      <c r="N1363" s="104">
        <v>0</v>
      </c>
      <c r="O1363" s="92" t="str">
        <f t="shared" si="45"/>
        <v/>
      </c>
    </row>
    <row r="1364" spans="1:15" ht="18" customHeight="1">
      <c r="A1364" s="103"/>
      <c r="B1364" s="104"/>
      <c r="C1364" s="104"/>
      <c r="D1364" s="104"/>
      <c r="E1364" s="92"/>
      <c r="F1364" s="104"/>
      <c r="G1364" s="92"/>
      <c r="H1364" s="90">
        <v>2220403</v>
      </c>
      <c r="I1364" s="90" t="s">
        <v>898</v>
      </c>
      <c r="J1364" s="143">
        <v>0</v>
      </c>
      <c r="K1364" s="143"/>
      <c r="L1364" s="87">
        <v>0</v>
      </c>
      <c r="M1364" s="92" t="str">
        <f t="shared" si="44"/>
        <v/>
      </c>
      <c r="N1364" s="104">
        <v>0</v>
      </c>
      <c r="O1364" s="92" t="str">
        <f t="shared" si="45"/>
        <v/>
      </c>
    </row>
    <row r="1365" spans="1:15" ht="18" customHeight="1">
      <c r="A1365" s="103"/>
      <c r="B1365" s="104"/>
      <c r="C1365" s="104"/>
      <c r="D1365" s="104"/>
      <c r="E1365" s="92"/>
      <c r="F1365" s="104"/>
      <c r="G1365" s="92"/>
      <c r="H1365" s="90">
        <v>2220404</v>
      </c>
      <c r="I1365" s="90" t="s">
        <v>899</v>
      </c>
      <c r="J1365" s="143">
        <v>0</v>
      </c>
      <c r="K1365" s="143"/>
      <c r="L1365" s="87">
        <v>0</v>
      </c>
      <c r="M1365" s="92" t="str">
        <f t="shared" si="44"/>
        <v/>
      </c>
      <c r="N1365" s="104">
        <v>0</v>
      </c>
      <c r="O1365" s="92" t="str">
        <f t="shared" si="45"/>
        <v/>
      </c>
    </row>
    <row r="1366" spans="1:15" ht="18" customHeight="1">
      <c r="A1366" s="103"/>
      <c r="B1366" s="104"/>
      <c r="C1366" s="104"/>
      <c r="D1366" s="104"/>
      <c r="E1366" s="92"/>
      <c r="F1366" s="104"/>
      <c r="G1366" s="92"/>
      <c r="H1366" s="90">
        <v>2220499</v>
      </c>
      <c r="I1366" s="90" t="s">
        <v>900</v>
      </c>
      <c r="J1366" s="143">
        <v>0</v>
      </c>
      <c r="K1366" s="87"/>
      <c r="L1366" s="87">
        <v>100000</v>
      </c>
      <c r="M1366" s="92" t="str">
        <f t="shared" si="44"/>
        <v/>
      </c>
      <c r="N1366" s="104">
        <v>0</v>
      </c>
      <c r="O1366" s="92" t="str">
        <f t="shared" si="45"/>
        <v/>
      </c>
    </row>
    <row r="1367" spans="1:15" ht="18" customHeight="1">
      <c r="A1367" s="103"/>
      <c r="B1367" s="104"/>
      <c r="C1367" s="104"/>
      <c r="D1367" s="104"/>
      <c r="E1367" s="92"/>
      <c r="F1367" s="104"/>
      <c r="G1367" s="92"/>
      <c r="H1367" s="90">
        <v>22205</v>
      </c>
      <c r="I1367" s="80" t="s">
        <v>901</v>
      </c>
      <c r="J1367" s="143">
        <v>3333</v>
      </c>
      <c r="K1367" s="658">
        <v>1701</v>
      </c>
      <c r="L1367" s="87">
        <v>1701</v>
      </c>
      <c r="M1367" s="92">
        <f t="shared" si="44"/>
        <v>1</v>
      </c>
      <c r="N1367" s="104">
        <v>0</v>
      </c>
      <c r="O1367" s="92" t="str">
        <f t="shared" si="45"/>
        <v/>
      </c>
    </row>
    <row r="1368" spans="1:15" ht="18" customHeight="1">
      <c r="A1368" s="103"/>
      <c r="B1368" s="104"/>
      <c r="C1368" s="104"/>
      <c r="D1368" s="104"/>
      <c r="E1368" s="92"/>
      <c r="F1368" s="104"/>
      <c r="G1368" s="92"/>
      <c r="H1368" s="90">
        <v>2220501</v>
      </c>
      <c r="I1368" s="90" t="s">
        <v>902</v>
      </c>
      <c r="J1368" s="143">
        <v>0</v>
      </c>
      <c r="K1368" s="143"/>
      <c r="L1368" s="87">
        <v>0</v>
      </c>
      <c r="M1368" s="92" t="str">
        <f t="shared" si="44"/>
        <v/>
      </c>
      <c r="N1368" s="104">
        <v>0</v>
      </c>
      <c r="O1368" s="92" t="str">
        <f t="shared" si="45"/>
        <v/>
      </c>
    </row>
    <row r="1369" spans="1:15" ht="18" customHeight="1">
      <c r="A1369" s="103"/>
      <c r="B1369" s="104"/>
      <c r="C1369" s="104"/>
      <c r="D1369" s="104"/>
      <c r="E1369" s="92"/>
      <c r="F1369" s="104"/>
      <c r="G1369" s="92"/>
      <c r="H1369" s="90">
        <v>2220502</v>
      </c>
      <c r="I1369" s="90" t="s">
        <v>903</v>
      </c>
      <c r="J1369" s="143">
        <v>0</v>
      </c>
      <c r="K1369" s="143"/>
      <c r="L1369" s="87">
        <v>0</v>
      </c>
      <c r="M1369" s="92" t="str">
        <f t="shared" si="44"/>
        <v/>
      </c>
      <c r="N1369" s="104">
        <v>0</v>
      </c>
      <c r="O1369" s="92" t="str">
        <f t="shared" si="45"/>
        <v/>
      </c>
    </row>
    <row r="1370" spans="1:15" ht="18" customHeight="1">
      <c r="A1370" s="103"/>
      <c r="B1370" s="104"/>
      <c r="C1370" s="104"/>
      <c r="D1370" s="104"/>
      <c r="E1370" s="92"/>
      <c r="F1370" s="104"/>
      <c r="G1370" s="92"/>
      <c r="H1370" s="90">
        <v>2220503</v>
      </c>
      <c r="I1370" s="90" t="s">
        <v>904</v>
      </c>
      <c r="J1370" s="143">
        <v>2000</v>
      </c>
      <c r="K1370" s="143"/>
      <c r="L1370" s="87">
        <v>820</v>
      </c>
      <c r="M1370" s="92" t="str">
        <f t="shared" si="44"/>
        <v/>
      </c>
      <c r="N1370" s="104">
        <v>0</v>
      </c>
      <c r="O1370" s="92" t="str">
        <f t="shared" si="45"/>
        <v/>
      </c>
    </row>
    <row r="1371" spans="1:15" ht="18" customHeight="1">
      <c r="A1371" s="103"/>
      <c r="B1371" s="104"/>
      <c r="C1371" s="104"/>
      <c r="D1371" s="104"/>
      <c r="E1371" s="92"/>
      <c r="F1371" s="104"/>
      <c r="G1371" s="92"/>
      <c r="H1371" s="90">
        <v>2220504</v>
      </c>
      <c r="I1371" s="90" t="s">
        <v>905</v>
      </c>
      <c r="J1371" s="143">
        <v>333</v>
      </c>
      <c r="K1371" s="143"/>
      <c r="L1371" s="87">
        <v>331</v>
      </c>
      <c r="M1371" s="92" t="str">
        <f t="shared" si="44"/>
        <v/>
      </c>
      <c r="N1371" s="104">
        <v>0</v>
      </c>
      <c r="O1371" s="92" t="str">
        <f t="shared" si="45"/>
        <v/>
      </c>
    </row>
    <row r="1372" spans="1:15" ht="18" customHeight="1">
      <c r="A1372" s="103"/>
      <c r="B1372" s="104"/>
      <c r="C1372" s="104"/>
      <c r="D1372" s="104"/>
      <c r="E1372" s="92"/>
      <c r="F1372" s="104"/>
      <c r="G1372" s="92"/>
      <c r="H1372" s="90">
        <v>2220505</v>
      </c>
      <c r="I1372" s="90" t="s">
        <v>906</v>
      </c>
      <c r="J1372" s="143">
        <v>0</v>
      </c>
      <c r="K1372" s="143"/>
      <c r="L1372" s="87">
        <v>0</v>
      </c>
      <c r="M1372" s="92" t="str">
        <f t="shared" si="44"/>
        <v/>
      </c>
      <c r="N1372" s="104">
        <v>0</v>
      </c>
      <c r="O1372" s="92" t="str">
        <f t="shared" si="45"/>
        <v/>
      </c>
    </row>
    <row r="1373" spans="1:15" ht="18" customHeight="1">
      <c r="A1373" s="103"/>
      <c r="B1373" s="104"/>
      <c r="C1373" s="104"/>
      <c r="D1373" s="104"/>
      <c r="E1373" s="92"/>
      <c r="F1373" s="104"/>
      <c r="G1373" s="92"/>
      <c r="H1373" s="90">
        <v>2220506</v>
      </c>
      <c r="I1373" s="90" t="s">
        <v>907</v>
      </c>
      <c r="J1373" s="143">
        <v>0</v>
      </c>
      <c r="K1373" s="143"/>
      <c r="L1373" s="87">
        <v>0</v>
      </c>
      <c r="M1373" s="92" t="str">
        <f t="shared" si="44"/>
        <v/>
      </c>
      <c r="N1373" s="104">
        <v>0</v>
      </c>
      <c r="O1373" s="92" t="str">
        <f t="shared" si="45"/>
        <v/>
      </c>
    </row>
    <row r="1374" spans="1:15" ht="18" customHeight="1">
      <c r="A1374" s="103"/>
      <c r="B1374" s="104"/>
      <c r="C1374" s="104"/>
      <c r="D1374" s="104"/>
      <c r="E1374" s="92"/>
      <c r="F1374" s="104"/>
      <c r="G1374" s="92"/>
      <c r="H1374" s="90">
        <v>2220507</v>
      </c>
      <c r="I1374" s="90" t="s">
        <v>908</v>
      </c>
      <c r="J1374" s="143">
        <v>0</v>
      </c>
      <c r="K1374" s="143"/>
      <c r="L1374" s="87">
        <v>0</v>
      </c>
      <c r="M1374" s="92" t="str">
        <f t="shared" si="44"/>
        <v/>
      </c>
      <c r="N1374" s="104">
        <v>0</v>
      </c>
      <c r="O1374" s="92" t="str">
        <f t="shared" si="45"/>
        <v/>
      </c>
    </row>
    <row r="1375" spans="1:15" ht="18" customHeight="1">
      <c r="A1375" s="103"/>
      <c r="B1375" s="104"/>
      <c r="C1375" s="104"/>
      <c r="D1375" s="104"/>
      <c r="E1375" s="92"/>
      <c r="F1375" s="104"/>
      <c r="G1375" s="92"/>
      <c r="H1375" s="90">
        <v>2220508</v>
      </c>
      <c r="I1375" s="90" t="s">
        <v>909</v>
      </c>
      <c r="J1375" s="143">
        <v>500</v>
      </c>
      <c r="K1375" s="143"/>
      <c r="L1375" s="87">
        <v>300</v>
      </c>
      <c r="M1375" s="92" t="str">
        <f t="shared" si="44"/>
        <v/>
      </c>
      <c r="N1375" s="104">
        <v>0</v>
      </c>
      <c r="O1375" s="92" t="str">
        <f t="shared" si="45"/>
        <v/>
      </c>
    </row>
    <row r="1376" spans="1:15" ht="18" customHeight="1">
      <c r="A1376" s="103"/>
      <c r="B1376" s="104"/>
      <c r="C1376" s="104"/>
      <c r="D1376" s="104"/>
      <c r="E1376" s="92"/>
      <c r="F1376" s="104"/>
      <c r="G1376" s="92"/>
      <c r="H1376" s="90">
        <v>2220509</v>
      </c>
      <c r="I1376" s="90" t="s">
        <v>910</v>
      </c>
      <c r="J1376" s="143">
        <v>500</v>
      </c>
      <c r="K1376" s="143"/>
      <c r="L1376" s="87">
        <v>250</v>
      </c>
      <c r="M1376" s="92" t="str">
        <f t="shared" si="44"/>
        <v/>
      </c>
      <c r="N1376" s="104">
        <v>0</v>
      </c>
      <c r="O1376" s="92" t="str">
        <f t="shared" si="45"/>
        <v/>
      </c>
    </row>
    <row r="1377" spans="1:19" ht="18" customHeight="1">
      <c r="A1377" s="103"/>
      <c r="B1377" s="104"/>
      <c r="C1377" s="104"/>
      <c r="D1377" s="104"/>
      <c r="E1377" s="92"/>
      <c r="F1377" s="104"/>
      <c r="G1377" s="92"/>
      <c r="H1377" s="90">
        <v>2220510</v>
      </c>
      <c r="I1377" s="90" t="s">
        <v>911</v>
      </c>
      <c r="J1377" s="104"/>
      <c r="K1377" s="104"/>
      <c r="L1377" s="87">
        <v>0</v>
      </c>
      <c r="M1377" s="92" t="str">
        <f t="shared" si="44"/>
        <v/>
      </c>
      <c r="N1377" s="104">
        <v>0</v>
      </c>
      <c r="O1377" s="92" t="str">
        <f t="shared" si="45"/>
        <v/>
      </c>
    </row>
    <row r="1378" spans="1:19" ht="18" customHeight="1">
      <c r="A1378" s="103"/>
      <c r="B1378" s="104"/>
      <c r="C1378" s="104"/>
      <c r="D1378" s="104"/>
      <c r="E1378" s="92"/>
      <c r="F1378" s="104"/>
      <c r="G1378" s="92"/>
      <c r="H1378" s="90">
        <v>2220599</v>
      </c>
      <c r="I1378" s="90" t="s">
        <v>912</v>
      </c>
      <c r="J1378" s="104"/>
      <c r="K1378" s="104"/>
      <c r="L1378" s="87">
        <v>0</v>
      </c>
      <c r="M1378" s="92" t="str">
        <f t="shared" si="44"/>
        <v/>
      </c>
      <c r="N1378" s="104">
        <v>0</v>
      </c>
      <c r="O1378" s="92" t="str">
        <f t="shared" si="45"/>
        <v/>
      </c>
    </row>
    <row r="1379" spans="1:19" s="112" customFormat="1" ht="18" customHeight="1">
      <c r="A1379" s="111"/>
      <c r="B1379" s="109"/>
      <c r="C1379" s="109"/>
      <c r="D1379" s="109"/>
      <c r="E1379" s="82"/>
      <c r="F1379" s="109"/>
      <c r="G1379" s="82"/>
      <c r="H1379" s="80">
        <v>228</v>
      </c>
      <c r="I1379" s="80" t="s">
        <v>913</v>
      </c>
      <c r="J1379" s="110">
        <v>48000</v>
      </c>
      <c r="K1379" s="656">
        <v>44382</v>
      </c>
      <c r="L1379" s="77">
        <v>44382</v>
      </c>
      <c r="M1379" s="82">
        <f t="shared" si="44"/>
        <v>1</v>
      </c>
      <c r="N1379" s="109">
        <v>533478</v>
      </c>
      <c r="O1379" s="82">
        <f t="shared" si="45"/>
        <v>-0.91680631628670728</v>
      </c>
      <c r="P1379" s="84"/>
    </row>
    <row r="1380" spans="1:19" ht="18" customHeight="1">
      <c r="A1380" s="103"/>
      <c r="B1380" s="104"/>
      <c r="C1380" s="104"/>
      <c r="D1380" s="104"/>
      <c r="E1380" s="92"/>
      <c r="F1380" s="104"/>
      <c r="G1380" s="92"/>
      <c r="H1380" s="90">
        <v>22808</v>
      </c>
      <c r="I1380" s="80" t="s">
        <v>914</v>
      </c>
      <c r="J1380" s="143">
        <v>2000</v>
      </c>
      <c r="K1380" s="143"/>
      <c r="L1380" s="104"/>
      <c r="M1380" s="92" t="str">
        <f t="shared" si="44"/>
        <v/>
      </c>
      <c r="N1380" s="104">
        <v>801</v>
      </c>
      <c r="O1380" s="92">
        <f t="shared" si="45"/>
        <v>-1</v>
      </c>
    </row>
    <row r="1381" spans="1:19" ht="18" customHeight="1">
      <c r="A1381" s="121"/>
      <c r="B1381" s="93"/>
      <c r="C1381" s="93"/>
      <c r="D1381" s="93"/>
      <c r="E1381" s="106"/>
      <c r="F1381" s="93"/>
      <c r="G1381" s="106"/>
      <c r="H1381" s="90">
        <v>22811</v>
      </c>
      <c r="I1381" s="80" t="s">
        <v>917</v>
      </c>
      <c r="J1381" s="104"/>
      <c r="K1381" s="104"/>
      <c r="L1381" s="104"/>
      <c r="M1381" s="92" t="str">
        <f t="shared" si="44"/>
        <v/>
      </c>
      <c r="N1381" s="104">
        <v>500000</v>
      </c>
      <c r="O1381" s="92">
        <f t="shared" si="45"/>
        <v>-1</v>
      </c>
      <c r="P1381" s="75" t="s">
        <v>919</v>
      </c>
      <c r="Q1381" s="63">
        <v>953110</v>
      </c>
      <c r="R1381" s="63">
        <v>423638</v>
      </c>
      <c r="S1381" s="63">
        <v>346143</v>
      </c>
    </row>
    <row r="1382" spans="1:19" ht="18" customHeight="1">
      <c r="A1382" s="107"/>
      <c r="B1382" s="93"/>
      <c r="C1382" s="93"/>
      <c r="D1382" s="93"/>
      <c r="E1382" s="106"/>
      <c r="F1382" s="93"/>
      <c r="G1382" s="106"/>
      <c r="H1382" s="90">
        <v>22813</v>
      </c>
      <c r="I1382" s="80" t="s">
        <v>918</v>
      </c>
      <c r="J1382" s="143">
        <v>46000</v>
      </c>
      <c r="K1382" s="647">
        <v>44382</v>
      </c>
      <c r="L1382" s="87">
        <v>44382</v>
      </c>
      <c r="M1382" s="92">
        <f t="shared" si="44"/>
        <v>1</v>
      </c>
      <c r="N1382" s="104">
        <v>32677</v>
      </c>
      <c r="O1382" s="92">
        <f t="shared" si="45"/>
        <v>0.3582030174128592</v>
      </c>
      <c r="P1382" s="75" t="s">
        <v>1048</v>
      </c>
      <c r="Q1382" s="63">
        <v>3707</v>
      </c>
      <c r="R1382" s="63">
        <v>0</v>
      </c>
      <c r="S1382" s="63">
        <v>0</v>
      </c>
    </row>
    <row r="1383" spans="1:19" ht="18" customHeight="1">
      <c r="A1383" s="107"/>
      <c r="B1383" s="93"/>
      <c r="C1383" s="93"/>
      <c r="D1383" s="93"/>
      <c r="E1383" s="106"/>
      <c r="F1383" s="93"/>
      <c r="G1383" s="106"/>
      <c r="H1383" s="90"/>
      <c r="I1383" s="122" t="s">
        <v>1275</v>
      </c>
      <c r="J1383" s="104"/>
      <c r="K1383" s="104"/>
      <c r="L1383" s="87"/>
      <c r="M1383" s="92" t="str">
        <f t="shared" si="44"/>
        <v/>
      </c>
      <c r="N1383" s="104"/>
      <c r="O1383" s="92" t="str">
        <f t="shared" si="45"/>
        <v/>
      </c>
    </row>
    <row r="1384" spans="1:19" ht="18" customHeight="1">
      <c r="A1384" s="107"/>
      <c r="B1384" s="93"/>
      <c r="C1384" s="93"/>
      <c r="D1384" s="93"/>
      <c r="E1384" s="106"/>
      <c r="F1384" s="93"/>
      <c r="G1384" s="106"/>
      <c r="H1384" s="90"/>
      <c r="I1384" s="122" t="s">
        <v>1433</v>
      </c>
      <c r="J1384" s="143">
        <v>46000</v>
      </c>
      <c r="K1384" s="647">
        <v>44382</v>
      </c>
      <c r="L1384" s="87">
        <v>44382</v>
      </c>
      <c r="M1384" s="92">
        <f t="shared" si="44"/>
        <v>1</v>
      </c>
      <c r="N1384" s="104"/>
      <c r="O1384" s="92" t="str">
        <f t="shared" si="45"/>
        <v/>
      </c>
    </row>
    <row r="1385" spans="1:19" ht="18" customHeight="1">
      <c r="A1385" s="107"/>
      <c r="B1385" s="93"/>
      <c r="C1385" s="93"/>
      <c r="D1385" s="93"/>
      <c r="E1385" s="106"/>
      <c r="F1385" s="93"/>
      <c r="G1385" s="106"/>
      <c r="H1385" s="90"/>
      <c r="I1385" s="80"/>
      <c r="J1385" s="104"/>
      <c r="K1385" s="104"/>
      <c r="L1385" s="87"/>
      <c r="M1385" s="92" t="str">
        <f t="shared" si="44"/>
        <v/>
      </c>
      <c r="N1385" s="104"/>
      <c r="O1385" s="92" t="str">
        <f t="shared" si="45"/>
        <v/>
      </c>
    </row>
    <row r="1386" spans="1:19" s="85" customFormat="1" ht="18" customHeight="1">
      <c r="A1386" s="121"/>
      <c r="B1386" s="123"/>
      <c r="C1386" s="123"/>
      <c r="D1386" s="123"/>
      <c r="E1386" s="124"/>
      <c r="F1386" s="123"/>
      <c r="G1386" s="124"/>
      <c r="H1386" s="80">
        <v>229</v>
      </c>
      <c r="I1386" s="80" t="s">
        <v>919</v>
      </c>
      <c r="J1386" s="109">
        <v>9352475</v>
      </c>
      <c r="K1386" s="656">
        <v>2222237</v>
      </c>
      <c r="L1386" s="77">
        <v>2142312</v>
      </c>
      <c r="M1386" s="82">
        <f t="shared" si="44"/>
        <v>0.96403398917397198</v>
      </c>
      <c r="N1386" s="109">
        <v>346143</v>
      </c>
      <c r="O1386" s="82">
        <f t="shared" si="45"/>
        <v>5.189095258318094</v>
      </c>
      <c r="P1386" s="84" t="s">
        <v>920</v>
      </c>
      <c r="Q1386" s="85">
        <v>949403</v>
      </c>
      <c r="R1386" s="85">
        <v>423638</v>
      </c>
      <c r="S1386" s="85">
        <v>346143</v>
      </c>
    </row>
    <row r="1387" spans="1:19" ht="18" customHeight="1">
      <c r="A1387" s="107"/>
      <c r="B1387" s="93"/>
      <c r="C1387" s="93"/>
      <c r="D1387" s="93"/>
      <c r="E1387" s="106"/>
      <c r="F1387" s="93"/>
      <c r="G1387" s="106"/>
      <c r="H1387" s="90">
        <v>22999</v>
      </c>
      <c r="I1387" s="80" t="s">
        <v>920</v>
      </c>
      <c r="J1387" s="104">
        <v>9352475</v>
      </c>
      <c r="K1387" s="647">
        <v>2222237</v>
      </c>
      <c r="L1387" s="87">
        <v>2142312</v>
      </c>
      <c r="M1387" s="92">
        <f t="shared" si="44"/>
        <v>0.96403398917397198</v>
      </c>
      <c r="N1387" s="104">
        <v>346143</v>
      </c>
      <c r="O1387" s="92">
        <f t="shared" si="45"/>
        <v>5.189095258318094</v>
      </c>
    </row>
    <row r="1388" spans="1:19" ht="18" customHeight="1">
      <c r="A1388" s="121"/>
      <c r="B1388" s="93"/>
      <c r="C1388" s="93"/>
      <c r="D1388" s="93"/>
      <c r="E1388" s="106"/>
      <c r="F1388" s="93"/>
      <c r="G1388" s="106"/>
      <c r="H1388" s="90">
        <v>2299901</v>
      </c>
      <c r="I1388" s="115" t="s">
        <v>921</v>
      </c>
      <c r="J1388" s="104">
        <v>9352475</v>
      </c>
      <c r="K1388" s="647">
        <v>2222237</v>
      </c>
      <c r="L1388" s="87">
        <v>2142312</v>
      </c>
      <c r="M1388" s="92">
        <f t="shared" si="44"/>
        <v>0.96403398917397198</v>
      </c>
      <c r="N1388" s="104">
        <v>346143</v>
      </c>
      <c r="O1388" s="92">
        <f t="shared" si="45"/>
        <v>5.189095258318094</v>
      </c>
    </row>
    <row r="1389" spans="1:19" ht="18" customHeight="1">
      <c r="A1389" s="125"/>
      <c r="B1389" s="93"/>
      <c r="C1389" s="93"/>
      <c r="D1389" s="93"/>
      <c r="E1389" s="126"/>
      <c r="F1389" s="93"/>
      <c r="G1389" s="126"/>
      <c r="H1389" s="92"/>
      <c r="I1389" s="103"/>
      <c r="J1389" s="104"/>
      <c r="K1389" s="104"/>
      <c r="L1389" s="104"/>
      <c r="M1389" s="92"/>
      <c r="N1389" s="104"/>
      <c r="O1389" s="92"/>
    </row>
    <row r="1390" spans="1:19" s="112" customFormat="1" ht="18" customHeight="1">
      <c r="A1390" s="127" t="s">
        <v>1434</v>
      </c>
      <c r="B1390" s="128">
        <v>15325000</v>
      </c>
      <c r="C1390" s="77">
        <v>15325000</v>
      </c>
      <c r="D1390" s="77">
        <v>17445184</v>
      </c>
      <c r="E1390" s="78">
        <f>+D1390/C1390</f>
        <v>1.1383480587275694</v>
      </c>
      <c r="F1390" s="123">
        <f>+F4+F16</f>
        <v>12760545</v>
      </c>
      <c r="G1390" s="78">
        <f>+D1390/F1390-1</f>
        <v>0.36711903762731146</v>
      </c>
      <c r="H1390" s="82"/>
      <c r="I1390" s="127" t="s">
        <v>1435</v>
      </c>
      <c r="J1390" s="129">
        <v>24642300</v>
      </c>
      <c r="K1390" s="656">
        <v>23871423</v>
      </c>
      <c r="L1390" s="77">
        <v>22340358</v>
      </c>
      <c r="M1390" s="82">
        <f>+L1390/K1390</f>
        <v>0.9358620137559458</v>
      </c>
      <c r="N1390" s="109">
        <f>+N294+N4+N312+N422+N477+N532+N588+N707+N779+N861+N885+N1013+N1084+N1161+N1188+N1217+N1227+N1308+N1325+N1379+N1386</f>
        <v>12666435</v>
      </c>
      <c r="O1390" s="82">
        <f>+L1390/N1390-1</f>
        <v>0.76374473164706558</v>
      </c>
      <c r="P1390" s="84"/>
    </row>
    <row r="1391" spans="1:19" ht="18" customHeight="1">
      <c r="A1391" s="127"/>
      <c r="B1391" s="93"/>
      <c r="C1391" s="93"/>
      <c r="D1391" s="93"/>
      <c r="E1391" s="88"/>
      <c r="F1391" s="93"/>
      <c r="G1391" s="88"/>
      <c r="H1391" s="92"/>
      <c r="I1391" s="103"/>
      <c r="K1391" s="104"/>
      <c r="L1391" s="104"/>
      <c r="M1391" s="106"/>
      <c r="N1391" s="104"/>
      <c r="O1391" s="92"/>
    </row>
    <row r="1392" spans="1:19" ht="18" customHeight="1">
      <c r="A1392" s="121" t="s">
        <v>1104</v>
      </c>
      <c r="B1392" s="123">
        <f>SUM(B1393:B1399)</f>
        <v>14037300</v>
      </c>
      <c r="C1392" s="123">
        <f>SUM(C1393:C1399)</f>
        <v>16685300</v>
      </c>
      <c r="D1392" s="123">
        <f>SUM(D1393:D1399)</f>
        <v>17385695</v>
      </c>
      <c r="E1392" s="78">
        <f t="shared" ref="E1392:E1399" si="46">+D1392/C1392</f>
        <v>1.0419767699711722</v>
      </c>
      <c r="F1392" s="123">
        <f>SUM(F1393:F1399)</f>
        <v>5970349</v>
      </c>
      <c r="G1392" s="78">
        <f t="shared" ref="G1392:G1399" si="47">+D1392/F1392-1</f>
        <v>1.9120064840430602</v>
      </c>
      <c r="H1392" s="92"/>
      <c r="I1392" s="131" t="s">
        <v>1105</v>
      </c>
      <c r="J1392" s="123">
        <f>SUM(J1393:J1400)</f>
        <v>4720000</v>
      </c>
      <c r="K1392" s="123">
        <f>SUM(K1393:K1400)</f>
        <v>8138877</v>
      </c>
      <c r="L1392" s="123">
        <f>SUM(L1393:L1400)</f>
        <v>12490521</v>
      </c>
      <c r="M1392" s="78">
        <f t="shared" ref="M1392:M1401" si="48">+L1392/K1392</f>
        <v>1.5346737639603105</v>
      </c>
      <c r="N1392" s="123">
        <f>SUM(N1393:N1400)</f>
        <v>6064459</v>
      </c>
      <c r="O1392" s="82">
        <f t="shared" ref="O1392:O1401" si="49">+L1392/N1392-1</f>
        <v>1.0596265882908931</v>
      </c>
    </row>
    <row r="1393" spans="1:15" ht="18" customHeight="1">
      <c r="A1393" s="107" t="s">
        <v>1436</v>
      </c>
      <c r="B1393" s="136">
        <v>1437500</v>
      </c>
      <c r="C1393" s="136">
        <v>1437500</v>
      </c>
      <c r="D1393" s="93">
        <v>1758013</v>
      </c>
      <c r="E1393" s="88">
        <f t="shared" si="46"/>
        <v>1.2229655652173914</v>
      </c>
      <c r="F1393" s="93">
        <v>1746216</v>
      </c>
      <c r="G1393" s="88">
        <f t="shared" si="47"/>
        <v>6.7557507204147882E-3</v>
      </c>
      <c r="H1393" s="92"/>
      <c r="I1393" s="132" t="s">
        <v>1437</v>
      </c>
      <c r="J1393" s="141">
        <v>2800000</v>
      </c>
      <c r="K1393" s="141">
        <v>2800000</v>
      </c>
      <c r="L1393" s="133">
        <v>3253576</v>
      </c>
      <c r="M1393" s="88">
        <f t="shared" si="48"/>
        <v>1.1619914285714286</v>
      </c>
      <c r="N1393" s="133">
        <v>1411857</v>
      </c>
      <c r="O1393" s="92">
        <f t="shared" si="49"/>
        <v>1.3044656788895761</v>
      </c>
    </row>
    <row r="1394" spans="1:15" ht="18" customHeight="1">
      <c r="A1394" s="107" t="s">
        <v>1438</v>
      </c>
      <c r="B1394" s="93">
        <v>70000</v>
      </c>
      <c r="C1394" s="93">
        <v>70000</v>
      </c>
      <c r="D1394" s="93">
        <v>202716</v>
      </c>
      <c r="E1394" s="88">
        <f t="shared" si="46"/>
        <v>2.8959428571428569</v>
      </c>
      <c r="F1394" s="93">
        <v>162788</v>
      </c>
      <c r="G1394" s="88">
        <f t="shared" si="47"/>
        <v>0.24527606457478446</v>
      </c>
      <c r="H1394" s="92"/>
      <c r="I1394" s="132" t="s">
        <v>1439</v>
      </c>
      <c r="J1394" s="93">
        <v>900000</v>
      </c>
      <c r="K1394" s="93">
        <v>900000</v>
      </c>
      <c r="L1394" s="87">
        <v>770057</v>
      </c>
      <c r="M1394" s="88">
        <f t="shared" si="48"/>
        <v>0.85561888888888893</v>
      </c>
      <c r="N1394" s="133">
        <v>660239</v>
      </c>
      <c r="O1394" s="92">
        <f t="shared" si="49"/>
        <v>0.16633067722445971</v>
      </c>
    </row>
    <row r="1395" spans="1:15" ht="18" customHeight="1">
      <c r="A1395" s="107" t="s">
        <v>1440</v>
      </c>
      <c r="B1395" s="142">
        <v>738000</v>
      </c>
      <c r="C1395" s="142">
        <v>738000</v>
      </c>
      <c r="D1395" s="93">
        <v>809469</v>
      </c>
      <c r="E1395" s="88">
        <f t="shared" si="46"/>
        <v>1.0968414634146342</v>
      </c>
      <c r="F1395" s="93">
        <v>618144</v>
      </c>
      <c r="G1395" s="88">
        <f t="shared" si="47"/>
        <v>0.30951525858052498</v>
      </c>
      <c r="H1395" s="92"/>
      <c r="I1395" s="134" t="s">
        <v>1441</v>
      </c>
      <c r="J1395" s="93">
        <v>950000</v>
      </c>
      <c r="K1395" s="93">
        <v>950000</v>
      </c>
      <c r="L1395" s="133">
        <v>945375</v>
      </c>
      <c r="M1395" s="88">
        <f t="shared" si="48"/>
        <v>0.99513157894736837</v>
      </c>
      <c r="N1395" s="133">
        <v>677910</v>
      </c>
      <c r="O1395" s="92">
        <f t="shared" si="49"/>
        <v>0.39454352347656774</v>
      </c>
    </row>
    <row r="1396" spans="1:15" ht="18" customHeight="1">
      <c r="A1396" s="107" t="s">
        <v>1442</v>
      </c>
      <c r="B1396" s="93"/>
      <c r="C1396" s="93"/>
      <c r="D1396" s="93"/>
      <c r="E1396" s="88"/>
      <c r="F1396" s="93">
        <v>420000</v>
      </c>
      <c r="G1396" s="88">
        <f t="shared" si="47"/>
        <v>-1</v>
      </c>
      <c r="H1396" s="92"/>
      <c r="I1396" s="134" t="s">
        <v>1443</v>
      </c>
      <c r="J1396" s="141">
        <v>70000</v>
      </c>
      <c r="K1396" s="141">
        <v>70000</v>
      </c>
      <c r="L1396" s="87">
        <v>70000</v>
      </c>
      <c r="M1396" s="88">
        <f t="shared" si="48"/>
        <v>1</v>
      </c>
      <c r="N1396" s="133">
        <v>110000</v>
      </c>
      <c r="O1396" s="92">
        <f t="shared" si="49"/>
        <v>-0.36363636363636365</v>
      </c>
    </row>
    <row r="1397" spans="1:15" ht="18" customHeight="1">
      <c r="A1397" s="107" t="s">
        <v>1444</v>
      </c>
      <c r="B1397" s="87">
        <v>2341000</v>
      </c>
      <c r="C1397" s="87">
        <v>2341000</v>
      </c>
      <c r="D1397" s="87">
        <v>2341000</v>
      </c>
      <c r="E1397" s="88">
        <f t="shared" si="46"/>
        <v>1</v>
      </c>
      <c r="F1397" s="93">
        <v>1244800</v>
      </c>
      <c r="G1397" s="88">
        <f t="shared" si="47"/>
        <v>0.88062339331619532</v>
      </c>
      <c r="H1397" s="92"/>
      <c r="I1397" s="135" t="s">
        <v>1445</v>
      </c>
      <c r="J1397" s="93"/>
      <c r="K1397" s="93"/>
      <c r="L1397" s="133"/>
      <c r="M1397" s="88"/>
      <c r="N1397" s="133">
        <v>80000</v>
      </c>
      <c r="O1397" s="92"/>
    </row>
    <row r="1398" spans="1:15" ht="18" customHeight="1">
      <c r="A1398" s="107" t="s">
        <v>1446</v>
      </c>
      <c r="B1398" s="136">
        <v>9050800</v>
      </c>
      <c r="C1398" s="136">
        <f>2648000+9050800</f>
        <v>11698800</v>
      </c>
      <c r="D1398" s="87">
        <v>11610376</v>
      </c>
      <c r="E1398" s="88">
        <f t="shared" si="46"/>
        <v>0.99244161794372077</v>
      </c>
      <c r="F1398" s="93">
        <v>1264280</v>
      </c>
      <c r="G1398" s="88">
        <f t="shared" si="47"/>
        <v>8.1833897554339234</v>
      </c>
      <c r="H1398" s="92"/>
      <c r="I1398" s="135" t="s">
        <v>1447</v>
      </c>
      <c r="J1398" s="93">
        <v>0</v>
      </c>
      <c r="K1398" s="93">
        <v>3000000</v>
      </c>
      <c r="L1398" s="87">
        <v>5995795</v>
      </c>
      <c r="M1398" s="88">
        <f t="shared" si="48"/>
        <v>1.9985983333333333</v>
      </c>
      <c r="N1398" s="133">
        <v>2415037</v>
      </c>
      <c r="O1398" s="92">
        <f t="shared" si="49"/>
        <v>1.4826928117457414</v>
      </c>
    </row>
    <row r="1399" spans="1:15" ht="18" customHeight="1">
      <c r="A1399" s="107" t="s">
        <v>1448</v>
      </c>
      <c r="B1399" s="136">
        <v>400000</v>
      </c>
      <c r="C1399" s="136">
        <v>400000</v>
      </c>
      <c r="D1399" s="87">
        <v>664121</v>
      </c>
      <c r="E1399" s="88">
        <f t="shared" si="46"/>
        <v>1.6603025</v>
      </c>
      <c r="F1399" s="93">
        <v>514121</v>
      </c>
      <c r="G1399" s="88">
        <f t="shared" si="47"/>
        <v>0.29176011094664478</v>
      </c>
      <c r="H1399" s="92"/>
      <c r="I1399" s="122" t="s">
        <v>1449</v>
      </c>
      <c r="J1399" s="93"/>
      <c r="K1399" s="93">
        <v>200000</v>
      </c>
      <c r="L1399" s="87">
        <v>200000</v>
      </c>
      <c r="M1399" s="88">
        <f t="shared" si="48"/>
        <v>1</v>
      </c>
      <c r="N1399" s="133"/>
      <c r="O1399" s="92"/>
    </row>
    <row r="1400" spans="1:15" ht="18" customHeight="1">
      <c r="A1400" s="121"/>
      <c r="B1400" s="93"/>
      <c r="C1400" s="93"/>
      <c r="D1400" s="93"/>
      <c r="E1400" s="106"/>
      <c r="F1400" s="93"/>
      <c r="G1400" s="106"/>
      <c r="H1400" s="92"/>
      <c r="I1400" s="137" t="s">
        <v>1450</v>
      </c>
      <c r="J1400" s="93"/>
      <c r="K1400" s="93">
        <v>218877</v>
      </c>
      <c r="L1400" s="87">
        <f>1789676-533958</f>
        <v>1255718</v>
      </c>
      <c r="M1400" s="88">
        <f t="shared" si="48"/>
        <v>5.7370943497946332</v>
      </c>
      <c r="N1400" s="133">
        <v>709416</v>
      </c>
      <c r="O1400" s="92">
        <f t="shared" si="49"/>
        <v>0.77007284865297643</v>
      </c>
    </row>
    <row r="1401" spans="1:15" ht="18" customHeight="1">
      <c r="A1401" s="121"/>
      <c r="B1401" s="93"/>
      <c r="C1401" s="93"/>
      <c r="D1401" s="93"/>
      <c r="E1401" s="106"/>
      <c r="F1401" s="93"/>
      <c r="G1401" s="106"/>
      <c r="H1401" s="92"/>
      <c r="I1401" s="137" t="s">
        <v>1451</v>
      </c>
      <c r="J1401" s="93"/>
      <c r="K1401" s="93">
        <v>8877</v>
      </c>
      <c r="L1401" s="87">
        <f>+L1400-1250000</f>
        <v>5718</v>
      </c>
      <c r="M1401" s="106">
        <f t="shared" si="48"/>
        <v>0.64413653261236903</v>
      </c>
      <c r="N1401" s="133">
        <v>309416</v>
      </c>
      <c r="O1401" s="92">
        <f t="shared" si="49"/>
        <v>-0.98152002482095302</v>
      </c>
    </row>
    <row r="1402" spans="1:15" ht="18" customHeight="1">
      <c r="A1402" s="103"/>
      <c r="B1402" s="104"/>
      <c r="C1402" s="104"/>
      <c r="D1402" s="104"/>
      <c r="E1402" s="92"/>
      <c r="F1402" s="104"/>
      <c r="G1402" s="92"/>
      <c r="H1402" s="92"/>
      <c r="I1402" s="138"/>
      <c r="J1402" s="93"/>
      <c r="K1402" s="93"/>
      <c r="L1402" s="106"/>
      <c r="M1402" s="92"/>
      <c r="N1402" s="106"/>
      <c r="O1402" s="92"/>
    </row>
    <row r="1403" spans="1:15" ht="21.75" customHeight="1">
      <c r="A1403" s="125" t="s">
        <v>1106</v>
      </c>
      <c r="B1403" s="123">
        <f>+B1390+B1392</f>
        <v>29362300</v>
      </c>
      <c r="C1403" s="123">
        <f>+C1390+C1392</f>
        <v>32010300</v>
      </c>
      <c r="D1403" s="123">
        <f>+D1390+D1392</f>
        <v>34830879</v>
      </c>
      <c r="E1403" s="78">
        <f>+D1403/C1403</f>
        <v>1.0881147318206952</v>
      </c>
      <c r="F1403" s="123">
        <f>F1390+F1392</f>
        <v>18730894</v>
      </c>
      <c r="G1403" s="78">
        <f>+D1403/F1403-1</f>
        <v>0.85954172822717378</v>
      </c>
      <c r="I1403" s="138" t="s">
        <v>1107</v>
      </c>
      <c r="J1403" s="123">
        <f>+J1390+J1392</f>
        <v>29362300</v>
      </c>
      <c r="K1403" s="123">
        <f>+K1390+K1392</f>
        <v>32010300</v>
      </c>
      <c r="L1403" s="123">
        <f>+L1390+L1392</f>
        <v>34830879</v>
      </c>
      <c r="M1403" s="78">
        <f>+L1403/K1403</f>
        <v>1.0881147318206952</v>
      </c>
      <c r="N1403" s="123">
        <f>N1392+N1390</f>
        <v>18730894</v>
      </c>
      <c r="O1403" s="78">
        <f>+L1403/N1403-1</f>
        <v>0.85954172822717378</v>
      </c>
    </row>
    <row r="1405" spans="1:15" ht="20.25" customHeight="1">
      <c r="B1405" s="139">
        <f>+B1390+B1392-B1403</f>
        <v>0</v>
      </c>
      <c r="C1405" s="139">
        <f t="shared" ref="C1405:D1405" si="50">+C1390+C1392-C1403</f>
        <v>0</v>
      </c>
      <c r="D1405" s="139">
        <f t="shared" si="50"/>
        <v>0</v>
      </c>
      <c r="E1405" s="140"/>
      <c r="F1405" s="139">
        <f t="shared" ref="F1405" si="51">+F1390+F1392-F1403</f>
        <v>0</v>
      </c>
      <c r="J1405" s="68">
        <f>+J1403-J1390-J1392</f>
        <v>0</v>
      </c>
      <c r="K1405" s="68">
        <f t="shared" ref="K1405" si="52">+K1403-K1390-K1392</f>
        <v>0</v>
      </c>
      <c r="L1405" s="68">
        <f>+L1403-L1390-L1392</f>
        <v>0</v>
      </c>
      <c r="N1405" s="68">
        <f>+N1403-N1390-N1392</f>
        <v>0</v>
      </c>
    </row>
    <row r="1406" spans="1:15" ht="20.25" customHeight="1">
      <c r="B1406" s="139">
        <f>+B1390-B4-B16</f>
        <v>0</v>
      </c>
      <c r="C1406" s="139">
        <f>+C1390-C4-C16</f>
        <v>0</v>
      </c>
      <c r="D1406" s="139">
        <f>+D1390-D4-D16</f>
        <v>0</v>
      </c>
      <c r="E1406" s="140"/>
      <c r="F1406" s="139">
        <f>+F1390-F4-F16</f>
        <v>0</v>
      </c>
      <c r="J1406" s="68">
        <f>+J1390-J4-J256-J294-J312-J422-J477-J532-J588-J707-J779-J861-J885-J1013-J1084-J1161-J1188-J1217-J1227-J1308-J1325-J1379-J1386</f>
        <v>0</v>
      </c>
      <c r="K1406" s="68">
        <f>+K1390-K4-K256-K294-K312-K422-K477-K532-K588-K707-K779-K861-K885-K1013-K1084-K1161-K1188-K1217-K1227-K1308-K1325-K1379-K1386</f>
        <v>0</v>
      </c>
      <c r="L1406" s="68">
        <f>+L1390-L4-L256-L294-L312-L422-L477-L532-L588-L707-L779-L861-L885-L1013-L1084-L1161-L1188-L1217-L1227-L1308-L1325-L1379-L1386</f>
        <v>0</v>
      </c>
      <c r="N1406" s="68">
        <f>+N1390-N4-N256-N294-N312-N422-N477-N532-N588-N707-N779-N861-N885-N1013-N1084-N1161-N1188-N1217-N1227-N1308-N1325-N1379-N1386</f>
        <v>0</v>
      </c>
    </row>
    <row r="1407" spans="1:15" ht="20.25" customHeight="1">
      <c r="A1407" s="582"/>
      <c r="B1407" s="139">
        <f>+B4-SUM(B5:B15)</f>
        <v>0</v>
      </c>
      <c r="C1407" s="139">
        <f t="shared" ref="C1407:D1407" si="53">+C4-SUM(C5:C15)</f>
        <v>0</v>
      </c>
      <c r="D1407" s="139">
        <f t="shared" si="53"/>
        <v>0</v>
      </c>
      <c r="E1407" s="140"/>
      <c r="F1407" s="139">
        <f t="shared" ref="F1407" si="54">+F4-SUM(F5:F15)</f>
        <v>0</v>
      </c>
      <c r="J1407" s="68">
        <f>+J1392-SUM(J1393:J1400)</f>
        <v>0</v>
      </c>
      <c r="K1407" s="68">
        <f t="shared" ref="K1407" si="55">+K1392-SUM(K1393:K1400)</f>
        <v>0</v>
      </c>
      <c r="L1407" s="68">
        <f>+L1392-SUM(L1393:L1400)</f>
        <v>0</v>
      </c>
      <c r="N1407" s="583">
        <f>+N1392-SUM(N1393:N1400)</f>
        <v>0</v>
      </c>
    </row>
    <row r="1408" spans="1:15" ht="20.25" customHeight="1">
      <c r="A1408" s="582"/>
      <c r="B1408" s="139">
        <f>+B16-SUM(B17:B22)</f>
        <v>0</v>
      </c>
      <c r="C1408" s="139">
        <f t="shared" ref="C1408:D1408" si="56">+C16-SUM(C17:C22)</f>
        <v>0</v>
      </c>
      <c r="D1408" s="139">
        <f t="shared" si="56"/>
        <v>0</v>
      </c>
      <c r="F1408" s="139">
        <f t="shared" ref="F1408" si="57">+F16-SUM(F17:F22)</f>
        <v>0</v>
      </c>
      <c r="I1408" s="582"/>
      <c r="L1408" s="68">
        <f>+D1403-L1403</f>
        <v>0</v>
      </c>
    </row>
  </sheetData>
  <mergeCells count="1">
    <mergeCell ref="A1:O1"/>
  </mergeCells>
  <phoneticPr fontId="23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90" orientation="landscape" r:id="rId1"/>
  <headerFooter alignWithMargins="0">
    <oddFooter>第 &amp;P 页，共 &amp;N 页</oddFooter>
  </headerFooter>
  <ignoredErrors>
    <ignoredError sqref="E4 E16 E1390 E1392 E1403 M1403" formula="1"/>
    <ignoredError sqref="N1407" formulaRange="1"/>
  </ignoredError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>
      <selection activeCell="A3" sqref="A1:XFD1048576"/>
    </sheetView>
  </sheetViews>
  <sheetFormatPr defaultRowHeight="14.25" customHeight="1"/>
  <cols>
    <col min="1" max="1" width="37.25" style="368" customWidth="1"/>
    <col min="2" max="2" width="24.5" style="368" customWidth="1"/>
    <col min="3" max="3" width="37.25" style="368" customWidth="1"/>
    <col min="4" max="4" width="24.5" style="368" customWidth="1"/>
    <col min="5" max="256" width="9" style="368"/>
    <col min="257" max="257" width="37.25" style="368" customWidth="1"/>
    <col min="258" max="258" width="24.5" style="368" customWidth="1"/>
    <col min="259" max="259" width="37.25" style="368" customWidth="1"/>
    <col min="260" max="260" width="24.5" style="368" customWidth="1"/>
    <col min="261" max="512" width="9" style="368"/>
    <col min="513" max="513" width="37.25" style="368" customWidth="1"/>
    <col min="514" max="514" width="24.5" style="368" customWidth="1"/>
    <col min="515" max="515" width="37.25" style="368" customWidth="1"/>
    <col min="516" max="516" width="24.5" style="368" customWidth="1"/>
    <col min="517" max="768" width="9" style="368"/>
    <col min="769" max="769" width="37.25" style="368" customWidth="1"/>
    <col min="770" max="770" width="24.5" style="368" customWidth="1"/>
    <col min="771" max="771" width="37.25" style="368" customWidth="1"/>
    <col min="772" max="772" width="24.5" style="368" customWidth="1"/>
    <col min="773" max="1024" width="9" style="368"/>
    <col min="1025" max="1025" width="37.25" style="368" customWidth="1"/>
    <col min="1026" max="1026" width="24.5" style="368" customWidth="1"/>
    <col min="1027" max="1027" width="37.25" style="368" customWidth="1"/>
    <col min="1028" max="1028" width="24.5" style="368" customWidth="1"/>
    <col min="1029" max="1280" width="9" style="368"/>
    <col min="1281" max="1281" width="37.25" style="368" customWidth="1"/>
    <col min="1282" max="1282" width="24.5" style="368" customWidth="1"/>
    <col min="1283" max="1283" width="37.25" style="368" customWidth="1"/>
    <col min="1284" max="1284" width="24.5" style="368" customWidth="1"/>
    <col min="1285" max="1536" width="9" style="368"/>
    <col min="1537" max="1537" width="37.25" style="368" customWidth="1"/>
    <col min="1538" max="1538" width="24.5" style="368" customWidth="1"/>
    <col min="1539" max="1539" width="37.25" style="368" customWidth="1"/>
    <col min="1540" max="1540" width="24.5" style="368" customWidth="1"/>
    <col min="1541" max="1792" width="9" style="368"/>
    <col min="1793" max="1793" width="37.25" style="368" customWidth="1"/>
    <col min="1794" max="1794" width="24.5" style="368" customWidth="1"/>
    <col min="1795" max="1795" width="37.25" style="368" customWidth="1"/>
    <col min="1796" max="1796" width="24.5" style="368" customWidth="1"/>
    <col min="1797" max="2048" width="9" style="368"/>
    <col min="2049" max="2049" width="37.25" style="368" customWidth="1"/>
    <col min="2050" max="2050" width="24.5" style="368" customWidth="1"/>
    <col min="2051" max="2051" width="37.25" style="368" customWidth="1"/>
    <col min="2052" max="2052" width="24.5" style="368" customWidth="1"/>
    <col min="2053" max="2304" width="9" style="368"/>
    <col min="2305" max="2305" width="37.25" style="368" customWidth="1"/>
    <col min="2306" max="2306" width="24.5" style="368" customWidth="1"/>
    <col min="2307" max="2307" width="37.25" style="368" customWidth="1"/>
    <col min="2308" max="2308" width="24.5" style="368" customWidth="1"/>
    <col min="2309" max="2560" width="9" style="368"/>
    <col min="2561" max="2561" width="37.25" style="368" customWidth="1"/>
    <col min="2562" max="2562" width="24.5" style="368" customWidth="1"/>
    <col min="2563" max="2563" width="37.25" style="368" customWidth="1"/>
    <col min="2564" max="2564" width="24.5" style="368" customWidth="1"/>
    <col min="2565" max="2816" width="9" style="368"/>
    <col min="2817" max="2817" width="37.25" style="368" customWidth="1"/>
    <col min="2818" max="2818" width="24.5" style="368" customWidth="1"/>
    <col min="2819" max="2819" width="37.25" style="368" customWidth="1"/>
    <col min="2820" max="2820" width="24.5" style="368" customWidth="1"/>
    <col min="2821" max="3072" width="9" style="368"/>
    <col min="3073" max="3073" width="37.25" style="368" customWidth="1"/>
    <col min="3074" max="3074" width="24.5" style="368" customWidth="1"/>
    <col min="3075" max="3075" width="37.25" style="368" customWidth="1"/>
    <col min="3076" max="3076" width="24.5" style="368" customWidth="1"/>
    <col min="3077" max="3328" width="9" style="368"/>
    <col min="3329" max="3329" width="37.25" style="368" customWidth="1"/>
    <col min="3330" max="3330" width="24.5" style="368" customWidth="1"/>
    <col min="3331" max="3331" width="37.25" style="368" customWidth="1"/>
    <col min="3332" max="3332" width="24.5" style="368" customWidth="1"/>
    <col min="3333" max="3584" width="9" style="368"/>
    <col min="3585" max="3585" width="37.25" style="368" customWidth="1"/>
    <col min="3586" max="3586" width="24.5" style="368" customWidth="1"/>
    <col min="3587" max="3587" width="37.25" style="368" customWidth="1"/>
    <col min="3588" max="3588" width="24.5" style="368" customWidth="1"/>
    <col min="3589" max="3840" width="9" style="368"/>
    <col min="3841" max="3841" width="37.25" style="368" customWidth="1"/>
    <col min="3842" max="3842" width="24.5" style="368" customWidth="1"/>
    <col min="3843" max="3843" width="37.25" style="368" customWidth="1"/>
    <col min="3844" max="3844" width="24.5" style="368" customWidth="1"/>
    <col min="3845" max="4096" width="9" style="368"/>
    <col min="4097" max="4097" width="37.25" style="368" customWidth="1"/>
    <col min="4098" max="4098" width="24.5" style="368" customWidth="1"/>
    <col min="4099" max="4099" width="37.25" style="368" customWidth="1"/>
    <col min="4100" max="4100" width="24.5" style="368" customWidth="1"/>
    <col min="4101" max="4352" width="9" style="368"/>
    <col min="4353" max="4353" width="37.25" style="368" customWidth="1"/>
    <col min="4354" max="4354" width="24.5" style="368" customWidth="1"/>
    <col min="4355" max="4355" width="37.25" style="368" customWidth="1"/>
    <col min="4356" max="4356" width="24.5" style="368" customWidth="1"/>
    <col min="4357" max="4608" width="9" style="368"/>
    <col min="4609" max="4609" width="37.25" style="368" customWidth="1"/>
    <col min="4610" max="4610" width="24.5" style="368" customWidth="1"/>
    <col min="4611" max="4611" width="37.25" style="368" customWidth="1"/>
    <col min="4612" max="4612" width="24.5" style="368" customWidth="1"/>
    <col min="4613" max="4864" width="9" style="368"/>
    <col min="4865" max="4865" width="37.25" style="368" customWidth="1"/>
    <col min="4866" max="4866" width="24.5" style="368" customWidth="1"/>
    <col min="4867" max="4867" width="37.25" style="368" customWidth="1"/>
    <col min="4868" max="4868" width="24.5" style="368" customWidth="1"/>
    <col min="4869" max="5120" width="9" style="368"/>
    <col min="5121" max="5121" width="37.25" style="368" customWidth="1"/>
    <col min="5122" max="5122" width="24.5" style="368" customWidth="1"/>
    <col min="5123" max="5123" width="37.25" style="368" customWidth="1"/>
    <col min="5124" max="5124" width="24.5" style="368" customWidth="1"/>
    <col min="5125" max="5376" width="9" style="368"/>
    <col min="5377" max="5377" width="37.25" style="368" customWidth="1"/>
    <col min="5378" max="5378" width="24.5" style="368" customWidth="1"/>
    <col min="5379" max="5379" width="37.25" style="368" customWidth="1"/>
    <col min="5380" max="5380" width="24.5" style="368" customWidth="1"/>
    <col min="5381" max="5632" width="9" style="368"/>
    <col min="5633" max="5633" width="37.25" style="368" customWidth="1"/>
    <col min="5634" max="5634" width="24.5" style="368" customWidth="1"/>
    <col min="5635" max="5635" width="37.25" style="368" customWidth="1"/>
    <col min="5636" max="5636" width="24.5" style="368" customWidth="1"/>
    <col min="5637" max="5888" width="9" style="368"/>
    <col min="5889" max="5889" width="37.25" style="368" customWidth="1"/>
    <col min="5890" max="5890" width="24.5" style="368" customWidth="1"/>
    <col min="5891" max="5891" width="37.25" style="368" customWidth="1"/>
    <col min="5892" max="5892" width="24.5" style="368" customWidth="1"/>
    <col min="5893" max="6144" width="9" style="368"/>
    <col min="6145" max="6145" width="37.25" style="368" customWidth="1"/>
    <col min="6146" max="6146" width="24.5" style="368" customWidth="1"/>
    <col min="6147" max="6147" width="37.25" style="368" customWidth="1"/>
    <col min="6148" max="6148" width="24.5" style="368" customWidth="1"/>
    <col min="6149" max="6400" width="9" style="368"/>
    <col min="6401" max="6401" width="37.25" style="368" customWidth="1"/>
    <col min="6402" max="6402" width="24.5" style="368" customWidth="1"/>
    <col min="6403" max="6403" width="37.25" style="368" customWidth="1"/>
    <col min="6404" max="6404" width="24.5" style="368" customWidth="1"/>
    <col min="6405" max="6656" width="9" style="368"/>
    <col min="6657" max="6657" width="37.25" style="368" customWidth="1"/>
    <col min="6658" max="6658" width="24.5" style="368" customWidth="1"/>
    <col min="6659" max="6659" width="37.25" style="368" customWidth="1"/>
    <col min="6660" max="6660" width="24.5" style="368" customWidth="1"/>
    <col min="6661" max="6912" width="9" style="368"/>
    <col min="6913" max="6913" width="37.25" style="368" customWidth="1"/>
    <col min="6914" max="6914" width="24.5" style="368" customWidth="1"/>
    <col min="6915" max="6915" width="37.25" style="368" customWidth="1"/>
    <col min="6916" max="6916" width="24.5" style="368" customWidth="1"/>
    <col min="6917" max="7168" width="9" style="368"/>
    <col min="7169" max="7169" width="37.25" style="368" customWidth="1"/>
    <col min="7170" max="7170" width="24.5" style="368" customWidth="1"/>
    <col min="7171" max="7171" width="37.25" style="368" customWidth="1"/>
    <col min="7172" max="7172" width="24.5" style="368" customWidth="1"/>
    <col min="7173" max="7424" width="9" style="368"/>
    <col min="7425" max="7425" width="37.25" style="368" customWidth="1"/>
    <col min="7426" max="7426" width="24.5" style="368" customWidth="1"/>
    <col min="7427" max="7427" width="37.25" style="368" customWidth="1"/>
    <col min="7428" max="7428" width="24.5" style="368" customWidth="1"/>
    <col min="7429" max="7680" width="9" style="368"/>
    <col min="7681" max="7681" width="37.25" style="368" customWidth="1"/>
    <col min="7682" max="7682" width="24.5" style="368" customWidth="1"/>
    <col min="7683" max="7683" width="37.25" style="368" customWidth="1"/>
    <col min="7684" max="7684" width="24.5" style="368" customWidth="1"/>
    <col min="7685" max="7936" width="9" style="368"/>
    <col min="7937" max="7937" width="37.25" style="368" customWidth="1"/>
    <col min="7938" max="7938" width="24.5" style="368" customWidth="1"/>
    <col min="7939" max="7939" width="37.25" style="368" customWidth="1"/>
    <col min="7940" max="7940" width="24.5" style="368" customWidth="1"/>
    <col min="7941" max="8192" width="9" style="368"/>
    <col min="8193" max="8193" width="37.25" style="368" customWidth="1"/>
    <col min="8194" max="8194" width="24.5" style="368" customWidth="1"/>
    <col min="8195" max="8195" width="37.25" style="368" customWidth="1"/>
    <col min="8196" max="8196" width="24.5" style="368" customWidth="1"/>
    <col min="8197" max="8448" width="9" style="368"/>
    <col min="8449" max="8449" width="37.25" style="368" customWidth="1"/>
    <col min="8450" max="8450" width="24.5" style="368" customWidth="1"/>
    <col min="8451" max="8451" width="37.25" style="368" customWidth="1"/>
    <col min="8452" max="8452" width="24.5" style="368" customWidth="1"/>
    <col min="8453" max="8704" width="9" style="368"/>
    <col min="8705" max="8705" width="37.25" style="368" customWidth="1"/>
    <col min="8706" max="8706" width="24.5" style="368" customWidth="1"/>
    <col min="8707" max="8707" width="37.25" style="368" customWidth="1"/>
    <col min="8708" max="8708" width="24.5" style="368" customWidth="1"/>
    <col min="8709" max="8960" width="9" style="368"/>
    <col min="8961" max="8961" width="37.25" style="368" customWidth="1"/>
    <col min="8962" max="8962" width="24.5" style="368" customWidth="1"/>
    <col min="8963" max="8963" width="37.25" style="368" customWidth="1"/>
    <col min="8964" max="8964" width="24.5" style="368" customWidth="1"/>
    <col min="8965" max="9216" width="9" style="368"/>
    <col min="9217" max="9217" width="37.25" style="368" customWidth="1"/>
    <col min="9218" max="9218" width="24.5" style="368" customWidth="1"/>
    <col min="9219" max="9219" width="37.25" style="368" customWidth="1"/>
    <col min="9220" max="9220" width="24.5" style="368" customWidth="1"/>
    <col min="9221" max="9472" width="9" style="368"/>
    <col min="9473" max="9473" width="37.25" style="368" customWidth="1"/>
    <col min="9474" max="9474" width="24.5" style="368" customWidth="1"/>
    <col min="9475" max="9475" width="37.25" style="368" customWidth="1"/>
    <col min="9476" max="9476" width="24.5" style="368" customWidth="1"/>
    <col min="9477" max="9728" width="9" style="368"/>
    <col min="9729" max="9729" width="37.25" style="368" customWidth="1"/>
    <col min="9730" max="9730" width="24.5" style="368" customWidth="1"/>
    <col min="9731" max="9731" width="37.25" style="368" customWidth="1"/>
    <col min="9732" max="9732" width="24.5" style="368" customWidth="1"/>
    <col min="9733" max="9984" width="9" style="368"/>
    <col min="9985" max="9985" width="37.25" style="368" customWidth="1"/>
    <col min="9986" max="9986" width="24.5" style="368" customWidth="1"/>
    <col min="9987" max="9987" width="37.25" style="368" customWidth="1"/>
    <col min="9988" max="9988" width="24.5" style="368" customWidth="1"/>
    <col min="9989" max="10240" width="9" style="368"/>
    <col min="10241" max="10241" width="37.25" style="368" customWidth="1"/>
    <col min="10242" max="10242" width="24.5" style="368" customWidth="1"/>
    <col min="10243" max="10243" width="37.25" style="368" customWidth="1"/>
    <col min="10244" max="10244" width="24.5" style="368" customWidth="1"/>
    <col min="10245" max="10496" width="9" style="368"/>
    <col min="10497" max="10497" width="37.25" style="368" customWidth="1"/>
    <col min="10498" max="10498" width="24.5" style="368" customWidth="1"/>
    <col min="10499" max="10499" width="37.25" style="368" customWidth="1"/>
    <col min="10500" max="10500" width="24.5" style="368" customWidth="1"/>
    <col min="10501" max="10752" width="9" style="368"/>
    <col min="10753" max="10753" width="37.25" style="368" customWidth="1"/>
    <col min="10754" max="10754" width="24.5" style="368" customWidth="1"/>
    <col min="10755" max="10755" width="37.25" style="368" customWidth="1"/>
    <col min="10756" max="10756" width="24.5" style="368" customWidth="1"/>
    <col min="10757" max="11008" width="9" style="368"/>
    <col min="11009" max="11009" width="37.25" style="368" customWidth="1"/>
    <col min="11010" max="11010" width="24.5" style="368" customWidth="1"/>
    <col min="11011" max="11011" width="37.25" style="368" customWidth="1"/>
    <col min="11012" max="11012" width="24.5" style="368" customWidth="1"/>
    <col min="11013" max="11264" width="9" style="368"/>
    <col min="11265" max="11265" width="37.25" style="368" customWidth="1"/>
    <col min="11266" max="11266" width="24.5" style="368" customWidth="1"/>
    <col min="11267" max="11267" width="37.25" style="368" customWidth="1"/>
    <col min="11268" max="11268" width="24.5" style="368" customWidth="1"/>
    <col min="11269" max="11520" width="9" style="368"/>
    <col min="11521" max="11521" width="37.25" style="368" customWidth="1"/>
    <col min="11522" max="11522" width="24.5" style="368" customWidth="1"/>
    <col min="11523" max="11523" width="37.25" style="368" customWidth="1"/>
    <col min="11524" max="11524" width="24.5" style="368" customWidth="1"/>
    <col min="11525" max="11776" width="9" style="368"/>
    <col min="11777" max="11777" width="37.25" style="368" customWidth="1"/>
    <col min="11778" max="11778" width="24.5" style="368" customWidth="1"/>
    <col min="11779" max="11779" width="37.25" style="368" customWidth="1"/>
    <col min="11780" max="11780" width="24.5" style="368" customWidth="1"/>
    <col min="11781" max="12032" width="9" style="368"/>
    <col min="12033" max="12033" width="37.25" style="368" customWidth="1"/>
    <col min="12034" max="12034" width="24.5" style="368" customWidth="1"/>
    <col min="12035" max="12035" width="37.25" style="368" customWidth="1"/>
    <col min="12036" max="12036" width="24.5" style="368" customWidth="1"/>
    <col min="12037" max="12288" width="9" style="368"/>
    <col min="12289" max="12289" width="37.25" style="368" customWidth="1"/>
    <col min="12290" max="12290" width="24.5" style="368" customWidth="1"/>
    <col min="12291" max="12291" width="37.25" style="368" customWidth="1"/>
    <col min="12292" max="12292" width="24.5" style="368" customWidth="1"/>
    <col min="12293" max="12544" width="9" style="368"/>
    <col min="12545" max="12545" width="37.25" style="368" customWidth="1"/>
    <col min="12546" max="12546" width="24.5" style="368" customWidth="1"/>
    <col min="12547" max="12547" width="37.25" style="368" customWidth="1"/>
    <col min="12548" max="12548" width="24.5" style="368" customWidth="1"/>
    <col min="12549" max="12800" width="9" style="368"/>
    <col min="12801" max="12801" width="37.25" style="368" customWidth="1"/>
    <col min="12802" max="12802" width="24.5" style="368" customWidth="1"/>
    <col min="12803" max="12803" width="37.25" style="368" customWidth="1"/>
    <col min="12804" max="12804" width="24.5" style="368" customWidth="1"/>
    <col min="12805" max="13056" width="9" style="368"/>
    <col min="13057" max="13057" width="37.25" style="368" customWidth="1"/>
    <col min="13058" max="13058" width="24.5" style="368" customWidth="1"/>
    <col min="13059" max="13059" width="37.25" style="368" customWidth="1"/>
    <col min="13060" max="13060" width="24.5" style="368" customWidth="1"/>
    <col min="13061" max="13312" width="9" style="368"/>
    <col min="13313" max="13313" width="37.25" style="368" customWidth="1"/>
    <col min="13314" max="13314" width="24.5" style="368" customWidth="1"/>
    <col min="13315" max="13315" width="37.25" style="368" customWidth="1"/>
    <col min="13316" max="13316" width="24.5" style="368" customWidth="1"/>
    <col min="13317" max="13568" width="9" style="368"/>
    <col min="13569" max="13569" width="37.25" style="368" customWidth="1"/>
    <col min="13570" max="13570" width="24.5" style="368" customWidth="1"/>
    <col min="13571" max="13571" width="37.25" style="368" customWidth="1"/>
    <col min="13572" max="13572" width="24.5" style="368" customWidth="1"/>
    <col min="13573" max="13824" width="9" style="368"/>
    <col min="13825" max="13825" width="37.25" style="368" customWidth="1"/>
    <col min="13826" max="13826" width="24.5" style="368" customWidth="1"/>
    <col min="13827" max="13827" width="37.25" style="368" customWidth="1"/>
    <col min="13828" max="13828" width="24.5" style="368" customWidth="1"/>
    <col min="13829" max="14080" width="9" style="368"/>
    <col min="14081" max="14081" width="37.25" style="368" customWidth="1"/>
    <col min="14082" max="14082" width="24.5" style="368" customWidth="1"/>
    <col min="14083" max="14083" width="37.25" style="368" customWidth="1"/>
    <col min="14084" max="14084" width="24.5" style="368" customWidth="1"/>
    <col min="14085" max="14336" width="9" style="368"/>
    <col min="14337" max="14337" width="37.25" style="368" customWidth="1"/>
    <col min="14338" max="14338" width="24.5" style="368" customWidth="1"/>
    <col min="14339" max="14339" width="37.25" style="368" customWidth="1"/>
    <col min="14340" max="14340" width="24.5" style="368" customWidth="1"/>
    <col min="14341" max="14592" width="9" style="368"/>
    <col min="14593" max="14593" width="37.25" style="368" customWidth="1"/>
    <col min="14594" max="14594" width="24.5" style="368" customWidth="1"/>
    <col min="14595" max="14595" width="37.25" style="368" customWidth="1"/>
    <col min="14596" max="14596" width="24.5" style="368" customWidth="1"/>
    <col min="14597" max="14848" width="9" style="368"/>
    <col min="14849" max="14849" width="37.25" style="368" customWidth="1"/>
    <col min="14850" max="14850" width="24.5" style="368" customWidth="1"/>
    <col min="14851" max="14851" width="37.25" style="368" customWidth="1"/>
    <col min="14852" max="14852" width="24.5" style="368" customWidth="1"/>
    <col min="14853" max="15104" width="9" style="368"/>
    <col min="15105" max="15105" width="37.25" style="368" customWidth="1"/>
    <col min="15106" max="15106" width="24.5" style="368" customWidth="1"/>
    <col min="15107" max="15107" width="37.25" style="368" customWidth="1"/>
    <col min="15108" max="15108" width="24.5" style="368" customWidth="1"/>
    <col min="15109" max="15360" width="9" style="368"/>
    <col min="15361" max="15361" width="37.25" style="368" customWidth="1"/>
    <col min="15362" max="15362" width="24.5" style="368" customWidth="1"/>
    <col min="15363" max="15363" width="37.25" style="368" customWidth="1"/>
    <col min="15364" max="15364" width="24.5" style="368" customWidth="1"/>
    <col min="15365" max="15616" width="9" style="368"/>
    <col min="15617" max="15617" width="37.25" style="368" customWidth="1"/>
    <col min="15618" max="15618" width="24.5" style="368" customWidth="1"/>
    <col min="15619" max="15619" width="37.25" style="368" customWidth="1"/>
    <col min="15620" max="15620" width="24.5" style="368" customWidth="1"/>
    <col min="15621" max="15872" width="9" style="368"/>
    <col min="15873" max="15873" width="37.25" style="368" customWidth="1"/>
    <col min="15874" max="15874" width="24.5" style="368" customWidth="1"/>
    <col min="15875" max="15875" width="37.25" style="368" customWidth="1"/>
    <col min="15876" max="15876" width="24.5" style="368" customWidth="1"/>
    <col min="15877" max="16128" width="9" style="368"/>
    <col min="16129" max="16129" width="37.25" style="368" customWidth="1"/>
    <col min="16130" max="16130" width="24.5" style="368" customWidth="1"/>
    <col min="16131" max="16131" width="37.25" style="368" customWidth="1"/>
    <col min="16132" max="16132" width="24.5" style="368" customWidth="1"/>
    <col min="16133" max="16384" width="9" style="368"/>
  </cols>
  <sheetData>
    <row r="1" spans="1:4" ht="36.75" customHeight="1">
      <c r="A1" s="722" t="s">
        <v>1703</v>
      </c>
      <c r="B1" s="722"/>
      <c r="C1" s="722"/>
      <c r="D1" s="722"/>
    </row>
    <row r="2" spans="1:4" s="342" customFormat="1" ht="18.75" customHeight="1">
      <c r="A2" s="403"/>
      <c r="B2" s="730"/>
      <c r="C2" s="730"/>
      <c r="D2" s="371" t="s">
        <v>1704</v>
      </c>
    </row>
    <row r="3" spans="1:4" s="342" customFormat="1" ht="18.75" customHeight="1" thickBot="1">
      <c r="A3" s="343" t="s">
        <v>1526</v>
      </c>
      <c r="B3" s="369"/>
      <c r="C3" s="369"/>
      <c r="D3" s="371" t="s">
        <v>1569</v>
      </c>
    </row>
    <row r="4" spans="1:4" ht="30" customHeight="1" thickBot="1">
      <c r="A4" s="239" t="s">
        <v>1528</v>
      </c>
      <c r="B4" s="373" t="s">
        <v>1529</v>
      </c>
      <c r="C4" s="255" t="s">
        <v>1528</v>
      </c>
      <c r="D4" s="373" t="s">
        <v>1529</v>
      </c>
    </row>
    <row r="5" spans="1:4" ht="27" customHeight="1">
      <c r="A5" s="374" t="s">
        <v>1705</v>
      </c>
      <c r="B5" s="216">
        <f>2600507225.49+78893040.4</f>
        <v>2679400265.8899999</v>
      </c>
      <c r="C5" s="256" t="s">
        <v>1706</v>
      </c>
      <c r="D5" s="216">
        <f>558064085.31+21108460.75</f>
        <v>579172546.05999994</v>
      </c>
    </row>
    <row r="6" spans="1:4" ht="27" customHeight="1">
      <c r="A6" s="244" t="s">
        <v>1532</v>
      </c>
      <c r="B6" s="217">
        <f>108400345.58+6436506.6</f>
        <v>114836852.17999999</v>
      </c>
      <c r="C6" s="250" t="s">
        <v>1707</v>
      </c>
      <c r="D6" s="217"/>
    </row>
    <row r="7" spans="1:4" ht="27" customHeight="1">
      <c r="A7" s="244" t="s">
        <v>1609</v>
      </c>
      <c r="B7" s="217"/>
      <c r="C7" s="250" t="s">
        <v>1708</v>
      </c>
      <c r="D7" s="217"/>
    </row>
    <row r="8" spans="1:4" ht="27" customHeight="1">
      <c r="A8" s="244" t="s">
        <v>1536</v>
      </c>
      <c r="B8" s="217">
        <v>870567.73</v>
      </c>
      <c r="C8" s="250" t="s">
        <v>1576</v>
      </c>
      <c r="D8" s="217"/>
    </row>
    <row r="9" spans="1:4" ht="27" customHeight="1">
      <c r="A9" s="244" t="s">
        <v>1543</v>
      </c>
      <c r="B9" s="217"/>
      <c r="C9" s="250" t="s">
        <v>1709</v>
      </c>
      <c r="D9" s="217"/>
    </row>
    <row r="10" spans="1:4" ht="27" customHeight="1">
      <c r="A10" s="244" t="s">
        <v>1545</v>
      </c>
      <c r="B10" s="217">
        <f>SUM(B5:B9)</f>
        <v>2795107685.7999997</v>
      </c>
      <c r="C10" s="250" t="s">
        <v>1710</v>
      </c>
      <c r="D10" s="259">
        <f>D5+D7+D8+D9</f>
        <v>579172546.05999994</v>
      </c>
    </row>
    <row r="11" spans="1:4" ht="27" customHeight="1">
      <c r="A11" s="244" t="s">
        <v>1615</v>
      </c>
      <c r="B11" s="217"/>
      <c r="C11" s="250" t="s">
        <v>1711</v>
      </c>
      <c r="D11" s="259"/>
    </row>
    <row r="12" spans="1:4" ht="27" customHeight="1">
      <c r="A12" s="244" t="s">
        <v>1549</v>
      </c>
      <c r="B12" s="217"/>
      <c r="C12" s="250" t="s">
        <v>1712</v>
      </c>
      <c r="D12" s="259"/>
    </row>
    <row r="13" spans="1:4" ht="27" customHeight="1">
      <c r="A13" s="244" t="s">
        <v>1551</v>
      </c>
      <c r="B13" s="217">
        <f>SUM(B10:B12)</f>
        <v>2795107685.7999997</v>
      </c>
      <c r="C13" s="250" t="s">
        <v>1713</v>
      </c>
      <c r="D13" s="259">
        <f>SUM(D10:D12)</f>
        <v>579172546.05999994</v>
      </c>
    </row>
    <row r="14" spans="1:4" ht="27" customHeight="1">
      <c r="A14" s="332" t="s">
        <v>1542</v>
      </c>
      <c r="B14" s="251" t="s">
        <v>1542</v>
      </c>
      <c r="C14" s="250" t="s">
        <v>1714</v>
      </c>
      <c r="D14" s="259">
        <f>B13-D13</f>
        <v>2215935139.7399998</v>
      </c>
    </row>
    <row r="15" spans="1:4" ht="27" customHeight="1" thickBot="1">
      <c r="A15" s="376" t="s">
        <v>1554</v>
      </c>
      <c r="B15" s="260">
        <v>2998419149.4000001</v>
      </c>
      <c r="C15" s="377" t="s">
        <v>1715</v>
      </c>
      <c r="D15" s="404">
        <f>B15+D14</f>
        <v>5214354289.1399994</v>
      </c>
    </row>
    <row r="16" spans="1:4" ht="28.5" customHeight="1" thickBot="1">
      <c r="A16" s="239" t="s">
        <v>1556</v>
      </c>
      <c r="B16" s="378">
        <f>B13+B15</f>
        <v>5793526835.1999998</v>
      </c>
      <c r="C16" s="255" t="s">
        <v>1556</v>
      </c>
      <c r="D16" s="405">
        <f>D13+D15</f>
        <v>5793526835.1999989</v>
      </c>
    </row>
  </sheetData>
  <mergeCells count="2">
    <mergeCell ref="A1:D1"/>
    <mergeCell ref="B2:C2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orientation="landscape" errors="blank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>
      <pane xSplit="1" ySplit="4" topLeftCell="B5" activePane="bottomRight" state="frozen"/>
      <selection activeCell="A3" sqref="A3:M3"/>
      <selection pane="topRight" activeCell="A3" sqref="A3:M3"/>
      <selection pane="bottomLeft" activeCell="A3" sqref="A3:M3"/>
      <selection pane="bottomRight" activeCell="A3" sqref="A1:Q28"/>
    </sheetView>
  </sheetViews>
  <sheetFormatPr defaultRowHeight="14.25" customHeight="1"/>
  <cols>
    <col min="1" max="1" width="19" style="193" bestFit="1" customWidth="1"/>
    <col min="2" max="3" width="12.5" style="193" bestFit="1" customWidth="1"/>
    <col min="4" max="4" width="11.625" style="193" bestFit="1" customWidth="1"/>
    <col min="5" max="5" width="10" style="193" bestFit="1" customWidth="1"/>
    <col min="6" max="6" width="11.75" style="193" bestFit="1" customWidth="1"/>
    <col min="7" max="7" width="11" style="193" bestFit="1" customWidth="1"/>
    <col min="8" max="8" width="8.5" style="193" bestFit="1" customWidth="1"/>
    <col min="9" max="9" width="10" style="193" bestFit="1" customWidth="1"/>
    <col min="10" max="10" width="11" style="193" bestFit="1" customWidth="1"/>
    <col min="11" max="11" width="11.75" style="193" bestFit="1" customWidth="1"/>
    <col min="12" max="12" width="11" style="193" bestFit="1" customWidth="1"/>
    <col min="13" max="13" width="10" style="193" customWidth="1"/>
    <col min="14" max="14" width="10" style="193" bestFit="1" customWidth="1"/>
    <col min="15" max="15" width="8.5" style="193" customWidth="1"/>
    <col min="16" max="16" width="10" style="193" bestFit="1" customWidth="1"/>
    <col min="17" max="17" width="10.25" style="193" bestFit="1" customWidth="1"/>
    <col min="18" max="256" width="9" style="193"/>
    <col min="257" max="257" width="19" style="193" bestFit="1" customWidth="1"/>
    <col min="258" max="259" width="12.5" style="193" bestFit="1" customWidth="1"/>
    <col min="260" max="260" width="11.625" style="193" bestFit="1" customWidth="1"/>
    <col min="261" max="261" width="10" style="193" bestFit="1" customWidth="1"/>
    <col min="262" max="262" width="11.75" style="193" bestFit="1" customWidth="1"/>
    <col min="263" max="263" width="11" style="193" bestFit="1" customWidth="1"/>
    <col min="264" max="264" width="8.5" style="193" bestFit="1" customWidth="1"/>
    <col min="265" max="265" width="10" style="193" bestFit="1" customWidth="1"/>
    <col min="266" max="266" width="11" style="193" bestFit="1" customWidth="1"/>
    <col min="267" max="267" width="11.75" style="193" bestFit="1" customWidth="1"/>
    <col min="268" max="268" width="11" style="193" bestFit="1" customWidth="1"/>
    <col min="269" max="269" width="10" style="193" customWidth="1"/>
    <col min="270" max="270" width="10" style="193" bestFit="1" customWidth="1"/>
    <col min="271" max="271" width="8.5" style="193" customWidth="1"/>
    <col min="272" max="272" width="10" style="193" bestFit="1" customWidth="1"/>
    <col min="273" max="273" width="10.25" style="193" bestFit="1" customWidth="1"/>
    <col min="274" max="512" width="9" style="193"/>
    <col min="513" max="513" width="19" style="193" bestFit="1" customWidth="1"/>
    <col min="514" max="515" width="12.5" style="193" bestFit="1" customWidth="1"/>
    <col min="516" max="516" width="11.625" style="193" bestFit="1" customWidth="1"/>
    <col min="517" max="517" width="10" style="193" bestFit="1" customWidth="1"/>
    <col min="518" max="518" width="11.75" style="193" bestFit="1" customWidth="1"/>
    <col min="519" max="519" width="11" style="193" bestFit="1" customWidth="1"/>
    <col min="520" max="520" width="8.5" style="193" bestFit="1" customWidth="1"/>
    <col min="521" max="521" width="10" style="193" bestFit="1" customWidth="1"/>
    <col min="522" max="522" width="11" style="193" bestFit="1" customWidth="1"/>
    <col min="523" max="523" width="11.75" style="193" bestFit="1" customWidth="1"/>
    <col min="524" max="524" width="11" style="193" bestFit="1" customWidth="1"/>
    <col min="525" max="525" width="10" style="193" customWidth="1"/>
    <col min="526" max="526" width="10" style="193" bestFit="1" customWidth="1"/>
    <col min="527" max="527" width="8.5" style="193" customWidth="1"/>
    <col min="528" max="528" width="10" style="193" bestFit="1" customWidth="1"/>
    <col min="529" max="529" width="10.25" style="193" bestFit="1" customWidth="1"/>
    <col min="530" max="768" width="9" style="193"/>
    <col min="769" max="769" width="19" style="193" bestFit="1" customWidth="1"/>
    <col min="770" max="771" width="12.5" style="193" bestFit="1" customWidth="1"/>
    <col min="772" max="772" width="11.625" style="193" bestFit="1" customWidth="1"/>
    <col min="773" max="773" width="10" style="193" bestFit="1" customWidth="1"/>
    <col min="774" max="774" width="11.75" style="193" bestFit="1" customWidth="1"/>
    <col min="775" max="775" width="11" style="193" bestFit="1" customWidth="1"/>
    <col min="776" max="776" width="8.5" style="193" bestFit="1" customWidth="1"/>
    <col min="777" max="777" width="10" style="193" bestFit="1" customWidth="1"/>
    <col min="778" max="778" width="11" style="193" bestFit="1" customWidth="1"/>
    <col min="779" max="779" width="11.75" style="193" bestFit="1" customWidth="1"/>
    <col min="780" max="780" width="11" style="193" bestFit="1" customWidth="1"/>
    <col min="781" max="781" width="10" style="193" customWidth="1"/>
    <col min="782" max="782" width="10" style="193" bestFit="1" customWidth="1"/>
    <col min="783" max="783" width="8.5" style="193" customWidth="1"/>
    <col min="784" max="784" width="10" style="193" bestFit="1" customWidth="1"/>
    <col min="785" max="785" width="10.25" style="193" bestFit="1" customWidth="1"/>
    <col min="786" max="1024" width="9" style="193"/>
    <col min="1025" max="1025" width="19" style="193" bestFit="1" customWidth="1"/>
    <col min="1026" max="1027" width="12.5" style="193" bestFit="1" customWidth="1"/>
    <col min="1028" max="1028" width="11.625" style="193" bestFit="1" customWidth="1"/>
    <col min="1029" max="1029" width="10" style="193" bestFit="1" customWidth="1"/>
    <col min="1030" max="1030" width="11.75" style="193" bestFit="1" customWidth="1"/>
    <col min="1031" max="1031" width="11" style="193" bestFit="1" customWidth="1"/>
    <col min="1032" max="1032" width="8.5" style="193" bestFit="1" customWidth="1"/>
    <col min="1033" max="1033" width="10" style="193" bestFit="1" customWidth="1"/>
    <col min="1034" max="1034" width="11" style="193" bestFit="1" customWidth="1"/>
    <col min="1035" max="1035" width="11.75" style="193" bestFit="1" customWidth="1"/>
    <col min="1036" max="1036" width="11" style="193" bestFit="1" customWidth="1"/>
    <col min="1037" max="1037" width="10" style="193" customWidth="1"/>
    <col min="1038" max="1038" width="10" style="193" bestFit="1" customWidth="1"/>
    <col min="1039" max="1039" width="8.5" style="193" customWidth="1"/>
    <col min="1040" max="1040" width="10" style="193" bestFit="1" customWidth="1"/>
    <col min="1041" max="1041" width="10.25" style="193" bestFit="1" customWidth="1"/>
    <col min="1042" max="1280" width="9" style="193"/>
    <col min="1281" max="1281" width="19" style="193" bestFit="1" customWidth="1"/>
    <col min="1282" max="1283" width="12.5" style="193" bestFit="1" customWidth="1"/>
    <col min="1284" max="1284" width="11.625" style="193" bestFit="1" customWidth="1"/>
    <col min="1285" max="1285" width="10" style="193" bestFit="1" customWidth="1"/>
    <col min="1286" max="1286" width="11.75" style="193" bestFit="1" customWidth="1"/>
    <col min="1287" max="1287" width="11" style="193" bestFit="1" customWidth="1"/>
    <col min="1288" max="1288" width="8.5" style="193" bestFit="1" customWidth="1"/>
    <col min="1289" max="1289" width="10" style="193" bestFit="1" customWidth="1"/>
    <col min="1290" max="1290" width="11" style="193" bestFit="1" customWidth="1"/>
    <col min="1291" max="1291" width="11.75" style="193" bestFit="1" customWidth="1"/>
    <col min="1292" max="1292" width="11" style="193" bestFit="1" customWidth="1"/>
    <col min="1293" max="1293" width="10" style="193" customWidth="1"/>
    <col min="1294" max="1294" width="10" style="193" bestFit="1" customWidth="1"/>
    <col min="1295" max="1295" width="8.5" style="193" customWidth="1"/>
    <col min="1296" max="1296" width="10" style="193" bestFit="1" customWidth="1"/>
    <col min="1297" max="1297" width="10.25" style="193" bestFit="1" customWidth="1"/>
    <col min="1298" max="1536" width="9" style="193"/>
    <col min="1537" max="1537" width="19" style="193" bestFit="1" customWidth="1"/>
    <col min="1538" max="1539" width="12.5" style="193" bestFit="1" customWidth="1"/>
    <col min="1540" max="1540" width="11.625" style="193" bestFit="1" customWidth="1"/>
    <col min="1541" max="1541" width="10" style="193" bestFit="1" customWidth="1"/>
    <col min="1542" max="1542" width="11.75" style="193" bestFit="1" customWidth="1"/>
    <col min="1543" max="1543" width="11" style="193" bestFit="1" customWidth="1"/>
    <col min="1544" max="1544" width="8.5" style="193" bestFit="1" customWidth="1"/>
    <col min="1545" max="1545" width="10" style="193" bestFit="1" customWidth="1"/>
    <col min="1546" max="1546" width="11" style="193" bestFit="1" customWidth="1"/>
    <col min="1547" max="1547" width="11.75" style="193" bestFit="1" customWidth="1"/>
    <col min="1548" max="1548" width="11" style="193" bestFit="1" customWidth="1"/>
    <col min="1549" max="1549" width="10" style="193" customWidth="1"/>
    <col min="1550" max="1550" width="10" style="193" bestFit="1" customWidth="1"/>
    <col min="1551" max="1551" width="8.5" style="193" customWidth="1"/>
    <col min="1552" max="1552" width="10" style="193" bestFit="1" customWidth="1"/>
    <col min="1553" max="1553" width="10.25" style="193" bestFit="1" customWidth="1"/>
    <col min="1554" max="1792" width="9" style="193"/>
    <col min="1793" max="1793" width="19" style="193" bestFit="1" customWidth="1"/>
    <col min="1794" max="1795" width="12.5" style="193" bestFit="1" customWidth="1"/>
    <col min="1796" max="1796" width="11.625" style="193" bestFit="1" customWidth="1"/>
    <col min="1797" max="1797" width="10" style="193" bestFit="1" customWidth="1"/>
    <col min="1798" max="1798" width="11.75" style="193" bestFit="1" customWidth="1"/>
    <col min="1799" max="1799" width="11" style="193" bestFit="1" customWidth="1"/>
    <col min="1800" max="1800" width="8.5" style="193" bestFit="1" customWidth="1"/>
    <col min="1801" max="1801" width="10" style="193" bestFit="1" customWidth="1"/>
    <col min="1802" max="1802" width="11" style="193" bestFit="1" customWidth="1"/>
    <col min="1803" max="1803" width="11.75" style="193" bestFit="1" customWidth="1"/>
    <col min="1804" max="1804" width="11" style="193" bestFit="1" customWidth="1"/>
    <col min="1805" max="1805" width="10" style="193" customWidth="1"/>
    <col min="1806" max="1806" width="10" style="193" bestFit="1" customWidth="1"/>
    <col min="1807" max="1807" width="8.5" style="193" customWidth="1"/>
    <col min="1808" max="1808" width="10" style="193" bestFit="1" customWidth="1"/>
    <col min="1809" max="1809" width="10.25" style="193" bestFit="1" customWidth="1"/>
    <col min="1810" max="2048" width="9" style="193"/>
    <col min="2049" max="2049" width="19" style="193" bestFit="1" customWidth="1"/>
    <col min="2050" max="2051" width="12.5" style="193" bestFit="1" customWidth="1"/>
    <col min="2052" max="2052" width="11.625" style="193" bestFit="1" customWidth="1"/>
    <col min="2053" max="2053" width="10" style="193" bestFit="1" customWidth="1"/>
    <col min="2054" max="2054" width="11.75" style="193" bestFit="1" customWidth="1"/>
    <col min="2055" max="2055" width="11" style="193" bestFit="1" customWidth="1"/>
    <col min="2056" max="2056" width="8.5" style="193" bestFit="1" customWidth="1"/>
    <col min="2057" max="2057" width="10" style="193" bestFit="1" customWidth="1"/>
    <col min="2058" max="2058" width="11" style="193" bestFit="1" customWidth="1"/>
    <col min="2059" max="2059" width="11.75" style="193" bestFit="1" customWidth="1"/>
    <col min="2060" max="2060" width="11" style="193" bestFit="1" customWidth="1"/>
    <col min="2061" max="2061" width="10" style="193" customWidth="1"/>
    <col min="2062" max="2062" width="10" style="193" bestFit="1" customWidth="1"/>
    <col min="2063" max="2063" width="8.5" style="193" customWidth="1"/>
    <col min="2064" max="2064" width="10" style="193" bestFit="1" customWidth="1"/>
    <col min="2065" max="2065" width="10.25" style="193" bestFit="1" customWidth="1"/>
    <col min="2066" max="2304" width="9" style="193"/>
    <col min="2305" max="2305" width="19" style="193" bestFit="1" customWidth="1"/>
    <col min="2306" max="2307" width="12.5" style="193" bestFit="1" customWidth="1"/>
    <col min="2308" max="2308" width="11.625" style="193" bestFit="1" customWidth="1"/>
    <col min="2309" max="2309" width="10" style="193" bestFit="1" customWidth="1"/>
    <col min="2310" max="2310" width="11.75" style="193" bestFit="1" customWidth="1"/>
    <col min="2311" max="2311" width="11" style="193" bestFit="1" customWidth="1"/>
    <col min="2312" max="2312" width="8.5" style="193" bestFit="1" customWidth="1"/>
    <col min="2313" max="2313" width="10" style="193" bestFit="1" customWidth="1"/>
    <col min="2314" max="2314" width="11" style="193" bestFit="1" customWidth="1"/>
    <col min="2315" max="2315" width="11.75" style="193" bestFit="1" customWidth="1"/>
    <col min="2316" max="2316" width="11" style="193" bestFit="1" customWidth="1"/>
    <col min="2317" max="2317" width="10" style="193" customWidth="1"/>
    <col min="2318" max="2318" width="10" style="193" bestFit="1" customWidth="1"/>
    <col min="2319" max="2319" width="8.5" style="193" customWidth="1"/>
    <col min="2320" max="2320" width="10" style="193" bestFit="1" customWidth="1"/>
    <col min="2321" max="2321" width="10.25" style="193" bestFit="1" customWidth="1"/>
    <col min="2322" max="2560" width="9" style="193"/>
    <col min="2561" max="2561" width="19" style="193" bestFit="1" customWidth="1"/>
    <col min="2562" max="2563" width="12.5" style="193" bestFit="1" customWidth="1"/>
    <col min="2564" max="2564" width="11.625" style="193" bestFit="1" customWidth="1"/>
    <col min="2565" max="2565" width="10" style="193" bestFit="1" customWidth="1"/>
    <col min="2566" max="2566" width="11.75" style="193" bestFit="1" customWidth="1"/>
    <col min="2567" max="2567" width="11" style="193" bestFit="1" customWidth="1"/>
    <col min="2568" max="2568" width="8.5" style="193" bestFit="1" customWidth="1"/>
    <col min="2569" max="2569" width="10" style="193" bestFit="1" customWidth="1"/>
    <col min="2570" max="2570" width="11" style="193" bestFit="1" customWidth="1"/>
    <col min="2571" max="2571" width="11.75" style="193" bestFit="1" customWidth="1"/>
    <col min="2572" max="2572" width="11" style="193" bestFit="1" customWidth="1"/>
    <col min="2573" max="2573" width="10" style="193" customWidth="1"/>
    <col min="2574" max="2574" width="10" style="193" bestFit="1" customWidth="1"/>
    <col min="2575" max="2575" width="8.5" style="193" customWidth="1"/>
    <col min="2576" max="2576" width="10" style="193" bestFit="1" customWidth="1"/>
    <col min="2577" max="2577" width="10.25" style="193" bestFit="1" customWidth="1"/>
    <col min="2578" max="2816" width="9" style="193"/>
    <col min="2817" max="2817" width="19" style="193" bestFit="1" customWidth="1"/>
    <col min="2818" max="2819" width="12.5" style="193" bestFit="1" customWidth="1"/>
    <col min="2820" max="2820" width="11.625" style="193" bestFit="1" customWidth="1"/>
    <col min="2821" max="2821" width="10" style="193" bestFit="1" customWidth="1"/>
    <col min="2822" max="2822" width="11.75" style="193" bestFit="1" customWidth="1"/>
    <col min="2823" max="2823" width="11" style="193" bestFit="1" customWidth="1"/>
    <col min="2824" max="2824" width="8.5" style="193" bestFit="1" customWidth="1"/>
    <col min="2825" max="2825" width="10" style="193" bestFit="1" customWidth="1"/>
    <col min="2826" max="2826" width="11" style="193" bestFit="1" customWidth="1"/>
    <col min="2827" max="2827" width="11.75" style="193" bestFit="1" customWidth="1"/>
    <col min="2828" max="2828" width="11" style="193" bestFit="1" customWidth="1"/>
    <col min="2829" max="2829" width="10" style="193" customWidth="1"/>
    <col min="2830" max="2830" width="10" style="193" bestFit="1" customWidth="1"/>
    <col min="2831" max="2831" width="8.5" style="193" customWidth="1"/>
    <col min="2832" max="2832" width="10" style="193" bestFit="1" customWidth="1"/>
    <col min="2833" max="2833" width="10.25" style="193" bestFit="1" customWidth="1"/>
    <col min="2834" max="3072" width="9" style="193"/>
    <col min="3073" max="3073" width="19" style="193" bestFit="1" customWidth="1"/>
    <col min="3074" max="3075" width="12.5" style="193" bestFit="1" customWidth="1"/>
    <col min="3076" max="3076" width="11.625" style="193" bestFit="1" customWidth="1"/>
    <col min="3077" max="3077" width="10" style="193" bestFit="1" customWidth="1"/>
    <col min="3078" max="3078" width="11.75" style="193" bestFit="1" customWidth="1"/>
    <col min="3079" max="3079" width="11" style="193" bestFit="1" customWidth="1"/>
    <col min="3080" max="3080" width="8.5" style="193" bestFit="1" customWidth="1"/>
    <col min="3081" max="3081" width="10" style="193" bestFit="1" customWidth="1"/>
    <col min="3082" max="3082" width="11" style="193" bestFit="1" customWidth="1"/>
    <col min="3083" max="3083" width="11.75" style="193" bestFit="1" customWidth="1"/>
    <col min="3084" max="3084" width="11" style="193" bestFit="1" customWidth="1"/>
    <col min="3085" max="3085" width="10" style="193" customWidth="1"/>
    <col min="3086" max="3086" width="10" style="193" bestFit="1" customWidth="1"/>
    <col min="3087" max="3087" width="8.5" style="193" customWidth="1"/>
    <col min="3088" max="3088" width="10" style="193" bestFit="1" customWidth="1"/>
    <col min="3089" max="3089" width="10.25" style="193" bestFit="1" customWidth="1"/>
    <col min="3090" max="3328" width="9" style="193"/>
    <col min="3329" max="3329" width="19" style="193" bestFit="1" customWidth="1"/>
    <col min="3330" max="3331" width="12.5" style="193" bestFit="1" customWidth="1"/>
    <col min="3332" max="3332" width="11.625" style="193" bestFit="1" customWidth="1"/>
    <col min="3333" max="3333" width="10" style="193" bestFit="1" customWidth="1"/>
    <col min="3334" max="3334" width="11.75" style="193" bestFit="1" customWidth="1"/>
    <col min="3335" max="3335" width="11" style="193" bestFit="1" customWidth="1"/>
    <col min="3336" max="3336" width="8.5" style="193" bestFit="1" customWidth="1"/>
    <col min="3337" max="3337" width="10" style="193" bestFit="1" customWidth="1"/>
    <col min="3338" max="3338" width="11" style="193" bestFit="1" customWidth="1"/>
    <col min="3339" max="3339" width="11.75" style="193" bestFit="1" customWidth="1"/>
    <col min="3340" max="3340" width="11" style="193" bestFit="1" customWidth="1"/>
    <col min="3341" max="3341" width="10" style="193" customWidth="1"/>
    <col min="3342" max="3342" width="10" style="193" bestFit="1" customWidth="1"/>
    <col min="3343" max="3343" width="8.5" style="193" customWidth="1"/>
    <col min="3344" max="3344" width="10" style="193" bestFit="1" customWidth="1"/>
    <col min="3345" max="3345" width="10.25" style="193" bestFit="1" customWidth="1"/>
    <col min="3346" max="3584" width="9" style="193"/>
    <col min="3585" max="3585" width="19" style="193" bestFit="1" customWidth="1"/>
    <col min="3586" max="3587" width="12.5" style="193" bestFit="1" customWidth="1"/>
    <col min="3588" max="3588" width="11.625" style="193" bestFit="1" customWidth="1"/>
    <col min="3589" max="3589" width="10" style="193" bestFit="1" customWidth="1"/>
    <col min="3590" max="3590" width="11.75" style="193" bestFit="1" customWidth="1"/>
    <col min="3591" max="3591" width="11" style="193" bestFit="1" customWidth="1"/>
    <col min="3592" max="3592" width="8.5" style="193" bestFit="1" customWidth="1"/>
    <col min="3593" max="3593" width="10" style="193" bestFit="1" customWidth="1"/>
    <col min="3594" max="3594" width="11" style="193" bestFit="1" customWidth="1"/>
    <col min="3595" max="3595" width="11.75" style="193" bestFit="1" customWidth="1"/>
    <col min="3596" max="3596" width="11" style="193" bestFit="1" customWidth="1"/>
    <col min="3597" max="3597" width="10" style="193" customWidth="1"/>
    <col min="3598" max="3598" width="10" style="193" bestFit="1" customWidth="1"/>
    <col min="3599" max="3599" width="8.5" style="193" customWidth="1"/>
    <col min="3600" max="3600" width="10" style="193" bestFit="1" customWidth="1"/>
    <col min="3601" max="3601" width="10.25" style="193" bestFit="1" customWidth="1"/>
    <col min="3602" max="3840" width="9" style="193"/>
    <col min="3841" max="3841" width="19" style="193" bestFit="1" customWidth="1"/>
    <col min="3842" max="3843" width="12.5" style="193" bestFit="1" customWidth="1"/>
    <col min="3844" max="3844" width="11.625" style="193" bestFit="1" customWidth="1"/>
    <col min="3845" max="3845" width="10" style="193" bestFit="1" customWidth="1"/>
    <col min="3846" max="3846" width="11.75" style="193" bestFit="1" customWidth="1"/>
    <col min="3847" max="3847" width="11" style="193" bestFit="1" customWidth="1"/>
    <col min="3848" max="3848" width="8.5" style="193" bestFit="1" customWidth="1"/>
    <col min="3849" max="3849" width="10" style="193" bestFit="1" customWidth="1"/>
    <col min="3850" max="3850" width="11" style="193" bestFit="1" customWidth="1"/>
    <col min="3851" max="3851" width="11.75" style="193" bestFit="1" customWidth="1"/>
    <col min="3852" max="3852" width="11" style="193" bestFit="1" customWidth="1"/>
    <col min="3853" max="3853" width="10" style="193" customWidth="1"/>
    <col min="3854" max="3854" width="10" style="193" bestFit="1" customWidth="1"/>
    <col min="3855" max="3855" width="8.5" style="193" customWidth="1"/>
    <col min="3856" max="3856" width="10" style="193" bestFit="1" customWidth="1"/>
    <col min="3857" max="3857" width="10.25" style="193" bestFit="1" customWidth="1"/>
    <col min="3858" max="4096" width="9" style="193"/>
    <col min="4097" max="4097" width="19" style="193" bestFit="1" customWidth="1"/>
    <col min="4098" max="4099" width="12.5" style="193" bestFit="1" customWidth="1"/>
    <col min="4100" max="4100" width="11.625" style="193" bestFit="1" customWidth="1"/>
    <col min="4101" max="4101" width="10" style="193" bestFit="1" customWidth="1"/>
    <col min="4102" max="4102" width="11.75" style="193" bestFit="1" customWidth="1"/>
    <col min="4103" max="4103" width="11" style="193" bestFit="1" customWidth="1"/>
    <col min="4104" max="4104" width="8.5" style="193" bestFit="1" customWidth="1"/>
    <col min="4105" max="4105" width="10" style="193" bestFit="1" customWidth="1"/>
    <col min="4106" max="4106" width="11" style="193" bestFit="1" customWidth="1"/>
    <col min="4107" max="4107" width="11.75" style="193" bestFit="1" customWidth="1"/>
    <col min="4108" max="4108" width="11" style="193" bestFit="1" customWidth="1"/>
    <col min="4109" max="4109" width="10" style="193" customWidth="1"/>
    <col min="4110" max="4110" width="10" style="193" bestFit="1" customWidth="1"/>
    <col min="4111" max="4111" width="8.5" style="193" customWidth="1"/>
    <col min="4112" max="4112" width="10" style="193" bestFit="1" customWidth="1"/>
    <col min="4113" max="4113" width="10.25" style="193" bestFit="1" customWidth="1"/>
    <col min="4114" max="4352" width="9" style="193"/>
    <col min="4353" max="4353" width="19" style="193" bestFit="1" customWidth="1"/>
    <col min="4354" max="4355" width="12.5" style="193" bestFit="1" customWidth="1"/>
    <col min="4356" max="4356" width="11.625" style="193" bestFit="1" customWidth="1"/>
    <col min="4357" max="4357" width="10" style="193" bestFit="1" customWidth="1"/>
    <col min="4358" max="4358" width="11.75" style="193" bestFit="1" customWidth="1"/>
    <col min="4359" max="4359" width="11" style="193" bestFit="1" customWidth="1"/>
    <col min="4360" max="4360" width="8.5" style="193" bestFit="1" customWidth="1"/>
    <col min="4361" max="4361" width="10" style="193" bestFit="1" customWidth="1"/>
    <col min="4362" max="4362" width="11" style="193" bestFit="1" customWidth="1"/>
    <col min="4363" max="4363" width="11.75" style="193" bestFit="1" customWidth="1"/>
    <col min="4364" max="4364" width="11" style="193" bestFit="1" customWidth="1"/>
    <col min="4365" max="4365" width="10" style="193" customWidth="1"/>
    <col min="4366" max="4366" width="10" style="193" bestFit="1" customWidth="1"/>
    <col min="4367" max="4367" width="8.5" style="193" customWidth="1"/>
    <col min="4368" max="4368" width="10" style="193" bestFit="1" customWidth="1"/>
    <col min="4369" max="4369" width="10.25" style="193" bestFit="1" customWidth="1"/>
    <col min="4370" max="4608" width="9" style="193"/>
    <col min="4609" max="4609" width="19" style="193" bestFit="1" customWidth="1"/>
    <col min="4610" max="4611" width="12.5" style="193" bestFit="1" customWidth="1"/>
    <col min="4612" max="4612" width="11.625" style="193" bestFit="1" customWidth="1"/>
    <col min="4613" max="4613" width="10" style="193" bestFit="1" customWidth="1"/>
    <col min="4614" max="4614" width="11.75" style="193" bestFit="1" customWidth="1"/>
    <col min="4615" max="4615" width="11" style="193" bestFit="1" customWidth="1"/>
    <col min="4616" max="4616" width="8.5" style="193" bestFit="1" customWidth="1"/>
    <col min="4617" max="4617" width="10" style="193" bestFit="1" customWidth="1"/>
    <col min="4618" max="4618" width="11" style="193" bestFit="1" customWidth="1"/>
    <col min="4619" max="4619" width="11.75" style="193" bestFit="1" customWidth="1"/>
    <col min="4620" max="4620" width="11" style="193" bestFit="1" customWidth="1"/>
    <col min="4621" max="4621" width="10" style="193" customWidth="1"/>
    <col min="4622" max="4622" width="10" style="193" bestFit="1" customWidth="1"/>
    <col min="4623" max="4623" width="8.5" style="193" customWidth="1"/>
    <col min="4624" max="4624" width="10" style="193" bestFit="1" customWidth="1"/>
    <col min="4625" max="4625" width="10.25" style="193" bestFit="1" customWidth="1"/>
    <col min="4626" max="4864" width="9" style="193"/>
    <col min="4865" max="4865" width="19" style="193" bestFit="1" customWidth="1"/>
    <col min="4866" max="4867" width="12.5" style="193" bestFit="1" customWidth="1"/>
    <col min="4868" max="4868" width="11.625" style="193" bestFit="1" customWidth="1"/>
    <col min="4869" max="4869" width="10" style="193" bestFit="1" customWidth="1"/>
    <col min="4870" max="4870" width="11.75" style="193" bestFit="1" customWidth="1"/>
    <col min="4871" max="4871" width="11" style="193" bestFit="1" customWidth="1"/>
    <col min="4872" max="4872" width="8.5" style="193" bestFit="1" customWidth="1"/>
    <col min="4873" max="4873" width="10" style="193" bestFit="1" customWidth="1"/>
    <col min="4874" max="4874" width="11" style="193" bestFit="1" customWidth="1"/>
    <col min="4875" max="4875" width="11.75" style="193" bestFit="1" customWidth="1"/>
    <col min="4876" max="4876" width="11" style="193" bestFit="1" customWidth="1"/>
    <col min="4877" max="4877" width="10" style="193" customWidth="1"/>
    <col min="4878" max="4878" width="10" style="193" bestFit="1" customWidth="1"/>
    <col min="4879" max="4879" width="8.5" style="193" customWidth="1"/>
    <col min="4880" max="4880" width="10" style="193" bestFit="1" customWidth="1"/>
    <col min="4881" max="4881" width="10.25" style="193" bestFit="1" customWidth="1"/>
    <col min="4882" max="5120" width="9" style="193"/>
    <col min="5121" max="5121" width="19" style="193" bestFit="1" customWidth="1"/>
    <col min="5122" max="5123" width="12.5" style="193" bestFit="1" customWidth="1"/>
    <col min="5124" max="5124" width="11.625" style="193" bestFit="1" customWidth="1"/>
    <col min="5125" max="5125" width="10" style="193" bestFit="1" customWidth="1"/>
    <col min="5126" max="5126" width="11.75" style="193" bestFit="1" customWidth="1"/>
    <col min="5127" max="5127" width="11" style="193" bestFit="1" customWidth="1"/>
    <col min="5128" max="5128" width="8.5" style="193" bestFit="1" customWidth="1"/>
    <col min="5129" max="5129" width="10" style="193" bestFit="1" customWidth="1"/>
    <col min="5130" max="5130" width="11" style="193" bestFit="1" customWidth="1"/>
    <col min="5131" max="5131" width="11.75" style="193" bestFit="1" customWidth="1"/>
    <col min="5132" max="5132" width="11" style="193" bestFit="1" customWidth="1"/>
    <col min="5133" max="5133" width="10" style="193" customWidth="1"/>
    <col min="5134" max="5134" width="10" style="193" bestFit="1" customWidth="1"/>
    <col min="5135" max="5135" width="8.5" style="193" customWidth="1"/>
    <col min="5136" max="5136" width="10" style="193" bestFit="1" customWidth="1"/>
    <col min="5137" max="5137" width="10.25" style="193" bestFit="1" customWidth="1"/>
    <col min="5138" max="5376" width="9" style="193"/>
    <col min="5377" max="5377" width="19" style="193" bestFit="1" customWidth="1"/>
    <col min="5378" max="5379" width="12.5" style="193" bestFit="1" customWidth="1"/>
    <col min="5380" max="5380" width="11.625" style="193" bestFit="1" customWidth="1"/>
    <col min="5381" max="5381" width="10" style="193" bestFit="1" customWidth="1"/>
    <col min="5382" max="5382" width="11.75" style="193" bestFit="1" customWidth="1"/>
    <col min="5383" max="5383" width="11" style="193" bestFit="1" customWidth="1"/>
    <col min="5384" max="5384" width="8.5" style="193" bestFit="1" customWidth="1"/>
    <col min="5385" max="5385" width="10" style="193" bestFit="1" customWidth="1"/>
    <col min="5386" max="5386" width="11" style="193" bestFit="1" customWidth="1"/>
    <col min="5387" max="5387" width="11.75" style="193" bestFit="1" customWidth="1"/>
    <col min="5388" max="5388" width="11" style="193" bestFit="1" customWidth="1"/>
    <col min="5389" max="5389" width="10" style="193" customWidth="1"/>
    <col min="5390" max="5390" width="10" style="193" bestFit="1" customWidth="1"/>
    <col min="5391" max="5391" width="8.5" style="193" customWidth="1"/>
    <col min="5392" max="5392" width="10" style="193" bestFit="1" customWidth="1"/>
    <col min="5393" max="5393" width="10.25" style="193" bestFit="1" customWidth="1"/>
    <col min="5394" max="5632" width="9" style="193"/>
    <col min="5633" max="5633" width="19" style="193" bestFit="1" customWidth="1"/>
    <col min="5634" max="5635" width="12.5" style="193" bestFit="1" customWidth="1"/>
    <col min="5636" max="5636" width="11.625" style="193" bestFit="1" customWidth="1"/>
    <col min="5637" max="5637" width="10" style="193" bestFit="1" customWidth="1"/>
    <col min="5638" max="5638" width="11.75" style="193" bestFit="1" customWidth="1"/>
    <col min="5639" max="5639" width="11" style="193" bestFit="1" customWidth="1"/>
    <col min="5640" max="5640" width="8.5" style="193" bestFit="1" customWidth="1"/>
    <col min="5641" max="5641" width="10" style="193" bestFit="1" customWidth="1"/>
    <col min="5642" max="5642" width="11" style="193" bestFit="1" customWidth="1"/>
    <col min="5643" max="5643" width="11.75" style="193" bestFit="1" customWidth="1"/>
    <col min="5644" max="5644" width="11" style="193" bestFit="1" customWidth="1"/>
    <col min="5645" max="5645" width="10" style="193" customWidth="1"/>
    <col min="5646" max="5646" width="10" style="193" bestFit="1" customWidth="1"/>
    <col min="5647" max="5647" width="8.5" style="193" customWidth="1"/>
    <col min="5648" max="5648" width="10" style="193" bestFit="1" customWidth="1"/>
    <col min="5649" max="5649" width="10.25" style="193" bestFit="1" customWidth="1"/>
    <col min="5650" max="5888" width="9" style="193"/>
    <col min="5889" max="5889" width="19" style="193" bestFit="1" customWidth="1"/>
    <col min="5890" max="5891" width="12.5" style="193" bestFit="1" customWidth="1"/>
    <col min="5892" max="5892" width="11.625" style="193" bestFit="1" customWidth="1"/>
    <col min="5893" max="5893" width="10" style="193" bestFit="1" customWidth="1"/>
    <col min="5894" max="5894" width="11.75" style="193" bestFit="1" customWidth="1"/>
    <col min="5895" max="5895" width="11" style="193" bestFit="1" customWidth="1"/>
    <col min="5896" max="5896" width="8.5" style="193" bestFit="1" customWidth="1"/>
    <col min="5897" max="5897" width="10" style="193" bestFit="1" customWidth="1"/>
    <col min="5898" max="5898" width="11" style="193" bestFit="1" customWidth="1"/>
    <col min="5899" max="5899" width="11.75" style="193" bestFit="1" customWidth="1"/>
    <col min="5900" max="5900" width="11" style="193" bestFit="1" customWidth="1"/>
    <col min="5901" max="5901" width="10" style="193" customWidth="1"/>
    <col min="5902" max="5902" width="10" style="193" bestFit="1" customWidth="1"/>
    <col min="5903" max="5903" width="8.5" style="193" customWidth="1"/>
    <col min="5904" max="5904" width="10" style="193" bestFit="1" customWidth="1"/>
    <col min="5905" max="5905" width="10.25" style="193" bestFit="1" customWidth="1"/>
    <col min="5906" max="6144" width="9" style="193"/>
    <col min="6145" max="6145" width="19" style="193" bestFit="1" customWidth="1"/>
    <col min="6146" max="6147" width="12.5" style="193" bestFit="1" customWidth="1"/>
    <col min="6148" max="6148" width="11.625" style="193" bestFit="1" customWidth="1"/>
    <col min="6149" max="6149" width="10" style="193" bestFit="1" customWidth="1"/>
    <col min="6150" max="6150" width="11.75" style="193" bestFit="1" customWidth="1"/>
    <col min="6151" max="6151" width="11" style="193" bestFit="1" customWidth="1"/>
    <col min="6152" max="6152" width="8.5" style="193" bestFit="1" customWidth="1"/>
    <col min="6153" max="6153" width="10" style="193" bestFit="1" customWidth="1"/>
    <col min="6154" max="6154" width="11" style="193" bestFit="1" customWidth="1"/>
    <col min="6155" max="6155" width="11.75" style="193" bestFit="1" customWidth="1"/>
    <col min="6156" max="6156" width="11" style="193" bestFit="1" customWidth="1"/>
    <col min="6157" max="6157" width="10" style="193" customWidth="1"/>
    <col min="6158" max="6158" width="10" style="193" bestFit="1" customWidth="1"/>
    <col min="6159" max="6159" width="8.5" style="193" customWidth="1"/>
    <col min="6160" max="6160" width="10" style="193" bestFit="1" customWidth="1"/>
    <col min="6161" max="6161" width="10.25" style="193" bestFit="1" customWidth="1"/>
    <col min="6162" max="6400" width="9" style="193"/>
    <col min="6401" max="6401" width="19" style="193" bestFit="1" customWidth="1"/>
    <col min="6402" max="6403" width="12.5" style="193" bestFit="1" customWidth="1"/>
    <col min="6404" max="6404" width="11.625" style="193" bestFit="1" customWidth="1"/>
    <col min="6405" max="6405" width="10" style="193" bestFit="1" customWidth="1"/>
    <col min="6406" max="6406" width="11.75" style="193" bestFit="1" customWidth="1"/>
    <col min="6407" max="6407" width="11" style="193" bestFit="1" customWidth="1"/>
    <col min="6408" max="6408" width="8.5" style="193" bestFit="1" customWidth="1"/>
    <col min="6409" max="6409" width="10" style="193" bestFit="1" customWidth="1"/>
    <col min="6410" max="6410" width="11" style="193" bestFit="1" customWidth="1"/>
    <col min="6411" max="6411" width="11.75" style="193" bestFit="1" customWidth="1"/>
    <col min="6412" max="6412" width="11" style="193" bestFit="1" customWidth="1"/>
    <col min="6413" max="6413" width="10" style="193" customWidth="1"/>
    <col min="6414" max="6414" width="10" style="193" bestFit="1" customWidth="1"/>
    <col min="6415" max="6415" width="8.5" style="193" customWidth="1"/>
    <col min="6416" max="6416" width="10" style="193" bestFit="1" customWidth="1"/>
    <col min="6417" max="6417" width="10.25" style="193" bestFit="1" customWidth="1"/>
    <col min="6418" max="6656" width="9" style="193"/>
    <col min="6657" max="6657" width="19" style="193" bestFit="1" customWidth="1"/>
    <col min="6658" max="6659" width="12.5" style="193" bestFit="1" customWidth="1"/>
    <col min="6660" max="6660" width="11.625" style="193" bestFit="1" customWidth="1"/>
    <col min="6661" max="6661" width="10" style="193" bestFit="1" customWidth="1"/>
    <col min="6662" max="6662" width="11.75" style="193" bestFit="1" customWidth="1"/>
    <col min="6663" max="6663" width="11" style="193" bestFit="1" customWidth="1"/>
    <col min="6664" max="6664" width="8.5" style="193" bestFit="1" customWidth="1"/>
    <col min="6665" max="6665" width="10" style="193" bestFit="1" customWidth="1"/>
    <col min="6666" max="6666" width="11" style="193" bestFit="1" customWidth="1"/>
    <col min="6667" max="6667" width="11.75" style="193" bestFit="1" customWidth="1"/>
    <col min="6668" max="6668" width="11" style="193" bestFit="1" customWidth="1"/>
    <col min="6669" max="6669" width="10" style="193" customWidth="1"/>
    <col min="6670" max="6670" width="10" style="193" bestFit="1" customWidth="1"/>
    <col min="6671" max="6671" width="8.5" style="193" customWidth="1"/>
    <col min="6672" max="6672" width="10" style="193" bestFit="1" customWidth="1"/>
    <col min="6673" max="6673" width="10.25" style="193" bestFit="1" customWidth="1"/>
    <col min="6674" max="6912" width="9" style="193"/>
    <col min="6913" max="6913" width="19" style="193" bestFit="1" customWidth="1"/>
    <col min="6914" max="6915" width="12.5" style="193" bestFit="1" customWidth="1"/>
    <col min="6916" max="6916" width="11.625" style="193" bestFit="1" customWidth="1"/>
    <col min="6917" max="6917" width="10" style="193" bestFit="1" customWidth="1"/>
    <col min="6918" max="6918" width="11.75" style="193" bestFit="1" customWidth="1"/>
    <col min="6919" max="6919" width="11" style="193" bestFit="1" customWidth="1"/>
    <col min="6920" max="6920" width="8.5" style="193" bestFit="1" customWidth="1"/>
    <col min="6921" max="6921" width="10" style="193" bestFit="1" customWidth="1"/>
    <col min="6922" max="6922" width="11" style="193" bestFit="1" customWidth="1"/>
    <col min="6923" max="6923" width="11.75" style="193" bestFit="1" customWidth="1"/>
    <col min="6924" max="6924" width="11" style="193" bestFit="1" customWidth="1"/>
    <col min="6925" max="6925" width="10" style="193" customWidth="1"/>
    <col min="6926" max="6926" width="10" style="193" bestFit="1" customWidth="1"/>
    <col min="6927" max="6927" width="8.5" style="193" customWidth="1"/>
    <col min="6928" max="6928" width="10" style="193" bestFit="1" customWidth="1"/>
    <col min="6929" max="6929" width="10.25" style="193" bestFit="1" customWidth="1"/>
    <col min="6930" max="7168" width="9" style="193"/>
    <col min="7169" max="7169" width="19" style="193" bestFit="1" customWidth="1"/>
    <col min="7170" max="7171" width="12.5" style="193" bestFit="1" customWidth="1"/>
    <col min="7172" max="7172" width="11.625" style="193" bestFit="1" customWidth="1"/>
    <col min="7173" max="7173" width="10" style="193" bestFit="1" customWidth="1"/>
    <col min="7174" max="7174" width="11.75" style="193" bestFit="1" customWidth="1"/>
    <col min="7175" max="7175" width="11" style="193" bestFit="1" customWidth="1"/>
    <col min="7176" max="7176" width="8.5" style="193" bestFit="1" customWidth="1"/>
    <col min="7177" max="7177" width="10" style="193" bestFit="1" customWidth="1"/>
    <col min="7178" max="7178" width="11" style="193" bestFit="1" customWidth="1"/>
    <col min="7179" max="7179" width="11.75" style="193" bestFit="1" customWidth="1"/>
    <col min="7180" max="7180" width="11" style="193" bestFit="1" customWidth="1"/>
    <col min="7181" max="7181" width="10" style="193" customWidth="1"/>
    <col min="7182" max="7182" width="10" style="193" bestFit="1" customWidth="1"/>
    <col min="7183" max="7183" width="8.5" style="193" customWidth="1"/>
    <col min="7184" max="7184" width="10" style="193" bestFit="1" customWidth="1"/>
    <col min="7185" max="7185" width="10.25" style="193" bestFit="1" customWidth="1"/>
    <col min="7186" max="7424" width="9" style="193"/>
    <col min="7425" max="7425" width="19" style="193" bestFit="1" customWidth="1"/>
    <col min="7426" max="7427" width="12.5" style="193" bestFit="1" customWidth="1"/>
    <col min="7428" max="7428" width="11.625" style="193" bestFit="1" customWidth="1"/>
    <col min="7429" max="7429" width="10" style="193" bestFit="1" customWidth="1"/>
    <col min="7430" max="7430" width="11.75" style="193" bestFit="1" customWidth="1"/>
    <col min="7431" max="7431" width="11" style="193" bestFit="1" customWidth="1"/>
    <col min="7432" max="7432" width="8.5" style="193" bestFit="1" customWidth="1"/>
    <col min="7433" max="7433" width="10" style="193" bestFit="1" customWidth="1"/>
    <col min="7434" max="7434" width="11" style="193" bestFit="1" customWidth="1"/>
    <col min="7435" max="7435" width="11.75" style="193" bestFit="1" customWidth="1"/>
    <col min="7436" max="7436" width="11" style="193" bestFit="1" customWidth="1"/>
    <col min="7437" max="7437" width="10" style="193" customWidth="1"/>
    <col min="7438" max="7438" width="10" style="193" bestFit="1" customWidth="1"/>
    <col min="7439" max="7439" width="8.5" style="193" customWidth="1"/>
    <col min="7440" max="7440" width="10" style="193" bestFit="1" customWidth="1"/>
    <col min="7441" max="7441" width="10.25" style="193" bestFit="1" customWidth="1"/>
    <col min="7442" max="7680" width="9" style="193"/>
    <col min="7681" max="7681" width="19" style="193" bestFit="1" customWidth="1"/>
    <col min="7682" max="7683" width="12.5" style="193" bestFit="1" customWidth="1"/>
    <col min="7684" max="7684" width="11.625" style="193" bestFit="1" customWidth="1"/>
    <col min="7685" max="7685" width="10" style="193" bestFit="1" customWidth="1"/>
    <col min="7686" max="7686" width="11.75" style="193" bestFit="1" customWidth="1"/>
    <col min="7687" max="7687" width="11" style="193" bestFit="1" customWidth="1"/>
    <col min="7688" max="7688" width="8.5" style="193" bestFit="1" customWidth="1"/>
    <col min="7689" max="7689" width="10" style="193" bestFit="1" customWidth="1"/>
    <col min="7690" max="7690" width="11" style="193" bestFit="1" customWidth="1"/>
    <col min="7691" max="7691" width="11.75" style="193" bestFit="1" customWidth="1"/>
    <col min="7692" max="7692" width="11" style="193" bestFit="1" customWidth="1"/>
    <col min="7693" max="7693" width="10" style="193" customWidth="1"/>
    <col min="7694" max="7694" width="10" style="193" bestFit="1" customWidth="1"/>
    <col min="7695" max="7695" width="8.5" style="193" customWidth="1"/>
    <col min="7696" max="7696" width="10" style="193" bestFit="1" customWidth="1"/>
    <col min="7697" max="7697" width="10.25" style="193" bestFit="1" customWidth="1"/>
    <col min="7698" max="7936" width="9" style="193"/>
    <col min="7937" max="7937" width="19" style="193" bestFit="1" customWidth="1"/>
    <col min="7938" max="7939" width="12.5" style="193" bestFit="1" customWidth="1"/>
    <col min="7940" max="7940" width="11.625" style="193" bestFit="1" customWidth="1"/>
    <col min="7941" max="7941" width="10" style="193" bestFit="1" customWidth="1"/>
    <col min="7942" max="7942" width="11.75" style="193" bestFit="1" customWidth="1"/>
    <col min="7943" max="7943" width="11" style="193" bestFit="1" customWidth="1"/>
    <col min="7944" max="7944" width="8.5" style="193" bestFit="1" customWidth="1"/>
    <col min="7945" max="7945" width="10" style="193" bestFit="1" customWidth="1"/>
    <col min="7946" max="7946" width="11" style="193" bestFit="1" customWidth="1"/>
    <col min="7947" max="7947" width="11.75" style="193" bestFit="1" customWidth="1"/>
    <col min="7948" max="7948" width="11" style="193" bestFit="1" customWidth="1"/>
    <col min="7949" max="7949" width="10" style="193" customWidth="1"/>
    <col min="7950" max="7950" width="10" style="193" bestFit="1" customWidth="1"/>
    <col min="7951" max="7951" width="8.5" style="193" customWidth="1"/>
    <col min="7952" max="7952" width="10" style="193" bestFit="1" customWidth="1"/>
    <col min="7953" max="7953" width="10.25" style="193" bestFit="1" customWidth="1"/>
    <col min="7954" max="8192" width="9" style="193"/>
    <col min="8193" max="8193" width="19" style="193" bestFit="1" customWidth="1"/>
    <col min="8194" max="8195" width="12.5" style="193" bestFit="1" customWidth="1"/>
    <col min="8196" max="8196" width="11.625" style="193" bestFit="1" customWidth="1"/>
    <col min="8197" max="8197" width="10" style="193" bestFit="1" customWidth="1"/>
    <col min="8198" max="8198" width="11.75" style="193" bestFit="1" customWidth="1"/>
    <col min="8199" max="8199" width="11" style="193" bestFit="1" customWidth="1"/>
    <col min="8200" max="8200" width="8.5" style="193" bestFit="1" customWidth="1"/>
    <col min="8201" max="8201" width="10" style="193" bestFit="1" customWidth="1"/>
    <col min="8202" max="8202" width="11" style="193" bestFit="1" customWidth="1"/>
    <col min="8203" max="8203" width="11.75" style="193" bestFit="1" customWidth="1"/>
    <col min="8204" max="8204" width="11" style="193" bestFit="1" customWidth="1"/>
    <col min="8205" max="8205" width="10" style="193" customWidth="1"/>
    <col min="8206" max="8206" width="10" style="193" bestFit="1" customWidth="1"/>
    <col min="8207" max="8207" width="8.5" style="193" customWidth="1"/>
    <col min="8208" max="8208" width="10" style="193" bestFit="1" customWidth="1"/>
    <col min="8209" max="8209" width="10.25" style="193" bestFit="1" customWidth="1"/>
    <col min="8210" max="8448" width="9" style="193"/>
    <col min="8449" max="8449" width="19" style="193" bestFit="1" customWidth="1"/>
    <col min="8450" max="8451" width="12.5" style="193" bestFit="1" customWidth="1"/>
    <col min="8452" max="8452" width="11.625" style="193" bestFit="1" customWidth="1"/>
    <col min="8453" max="8453" width="10" style="193" bestFit="1" customWidth="1"/>
    <col min="8454" max="8454" width="11.75" style="193" bestFit="1" customWidth="1"/>
    <col min="8455" max="8455" width="11" style="193" bestFit="1" customWidth="1"/>
    <col min="8456" max="8456" width="8.5" style="193" bestFit="1" customWidth="1"/>
    <col min="8457" max="8457" width="10" style="193" bestFit="1" customWidth="1"/>
    <col min="8458" max="8458" width="11" style="193" bestFit="1" customWidth="1"/>
    <col min="8459" max="8459" width="11.75" style="193" bestFit="1" customWidth="1"/>
    <col min="8460" max="8460" width="11" style="193" bestFit="1" customWidth="1"/>
    <col min="8461" max="8461" width="10" style="193" customWidth="1"/>
    <col min="8462" max="8462" width="10" style="193" bestFit="1" customWidth="1"/>
    <col min="8463" max="8463" width="8.5" style="193" customWidth="1"/>
    <col min="8464" max="8464" width="10" style="193" bestFit="1" customWidth="1"/>
    <col min="8465" max="8465" width="10.25" style="193" bestFit="1" customWidth="1"/>
    <col min="8466" max="8704" width="9" style="193"/>
    <col min="8705" max="8705" width="19" style="193" bestFit="1" customWidth="1"/>
    <col min="8706" max="8707" width="12.5" style="193" bestFit="1" customWidth="1"/>
    <col min="8708" max="8708" width="11.625" style="193" bestFit="1" customWidth="1"/>
    <col min="8709" max="8709" width="10" style="193" bestFit="1" customWidth="1"/>
    <col min="8710" max="8710" width="11.75" style="193" bestFit="1" customWidth="1"/>
    <col min="8711" max="8711" width="11" style="193" bestFit="1" customWidth="1"/>
    <col min="8712" max="8712" width="8.5" style="193" bestFit="1" customWidth="1"/>
    <col min="8713" max="8713" width="10" style="193" bestFit="1" customWidth="1"/>
    <col min="8714" max="8714" width="11" style="193" bestFit="1" customWidth="1"/>
    <col min="8715" max="8715" width="11.75" style="193" bestFit="1" customWidth="1"/>
    <col min="8716" max="8716" width="11" style="193" bestFit="1" customWidth="1"/>
    <col min="8717" max="8717" width="10" style="193" customWidth="1"/>
    <col min="8718" max="8718" width="10" style="193" bestFit="1" customWidth="1"/>
    <col min="8719" max="8719" width="8.5" style="193" customWidth="1"/>
    <col min="8720" max="8720" width="10" style="193" bestFit="1" customWidth="1"/>
    <col min="8721" max="8721" width="10.25" style="193" bestFit="1" customWidth="1"/>
    <col min="8722" max="8960" width="9" style="193"/>
    <col min="8961" max="8961" width="19" style="193" bestFit="1" customWidth="1"/>
    <col min="8962" max="8963" width="12.5" style="193" bestFit="1" customWidth="1"/>
    <col min="8964" max="8964" width="11.625" style="193" bestFit="1" customWidth="1"/>
    <col min="8965" max="8965" width="10" style="193" bestFit="1" customWidth="1"/>
    <col min="8966" max="8966" width="11.75" style="193" bestFit="1" customWidth="1"/>
    <col min="8967" max="8967" width="11" style="193" bestFit="1" customWidth="1"/>
    <col min="8968" max="8968" width="8.5" style="193" bestFit="1" customWidth="1"/>
    <col min="8969" max="8969" width="10" style="193" bestFit="1" customWidth="1"/>
    <col min="8970" max="8970" width="11" style="193" bestFit="1" customWidth="1"/>
    <col min="8971" max="8971" width="11.75" style="193" bestFit="1" customWidth="1"/>
    <col min="8972" max="8972" width="11" style="193" bestFit="1" customWidth="1"/>
    <col min="8973" max="8973" width="10" style="193" customWidth="1"/>
    <col min="8974" max="8974" width="10" style="193" bestFit="1" customWidth="1"/>
    <col min="8975" max="8975" width="8.5" style="193" customWidth="1"/>
    <col min="8976" max="8976" width="10" style="193" bestFit="1" customWidth="1"/>
    <col min="8977" max="8977" width="10.25" style="193" bestFit="1" customWidth="1"/>
    <col min="8978" max="9216" width="9" style="193"/>
    <col min="9217" max="9217" width="19" style="193" bestFit="1" customWidth="1"/>
    <col min="9218" max="9219" width="12.5" style="193" bestFit="1" customWidth="1"/>
    <col min="9220" max="9220" width="11.625" style="193" bestFit="1" customWidth="1"/>
    <col min="9221" max="9221" width="10" style="193" bestFit="1" customWidth="1"/>
    <col min="9222" max="9222" width="11.75" style="193" bestFit="1" customWidth="1"/>
    <col min="9223" max="9223" width="11" style="193" bestFit="1" customWidth="1"/>
    <col min="9224" max="9224" width="8.5" style="193" bestFit="1" customWidth="1"/>
    <col min="9225" max="9225" width="10" style="193" bestFit="1" customWidth="1"/>
    <col min="9226" max="9226" width="11" style="193" bestFit="1" customWidth="1"/>
    <col min="9227" max="9227" width="11.75" style="193" bestFit="1" customWidth="1"/>
    <col min="9228" max="9228" width="11" style="193" bestFit="1" customWidth="1"/>
    <col min="9229" max="9229" width="10" style="193" customWidth="1"/>
    <col min="9230" max="9230" width="10" style="193" bestFit="1" customWidth="1"/>
    <col min="9231" max="9231" width="8.5" style="193" customWidth="1"/>
    <col min="9232" max="9232" width="10" style="193" bestFit="1" customWidth="1"/>
    <col min="9233" max="9233" width="10.25" style="193" bestFit="1" customWidth="1"/>
    <col min="9234" max="9472" width="9" style="193"/>
    <col min="9473" max="9473" width="19" style="193" bestFit="1" customWidth="1"/>
    <col min="9474" max="9475" width="12.5" style="193" bestFit="1" customWidth="1"/>
    <col min="9476" max="9476" width="11.625" style="193" bestFit="1" customWidth="1"/>
    <col min="9477" max="9477" width="10" style="193" bestFit="1" customWidth="1"/>
    <col min="9478" max="9478" width="11.75" style="193" bestFit="1" customWidth="1"/>
    <col min="9479" max="9479" width="11" style="193" bestFit="1" customWidth="1"/>
    <col min="9480" max="9480" width="8.5" style="193" bestFit="1" customWidth="1"/>
    <col min="9481" max="9481" width="10" style="193" bestFit="1" customWidth="1"/>
    <col min="9482" max="9482" width="11" style="193" bestFit="1" customWidth="1"/>
    <col min="9483" max="9483" width="11.75" style="193" bestFit="1" customWidth="1"/>
    <col min="9484" max="9484" width="11" style="193" bestFit="1" customWidth="1"/>
    <col min="9485" max="9485" width="10" style="193" customWidth="1"/>
    <col min="9486" max="9486" width="10" style="193" bestFit="1" customWidth="1"/>
    <col min="9487" max="9487" width="8.5" style="193" customWidth="1"/>
    <col min="9488" max="9488" width="10" style="193" bestFit="1" customWidth="1"/>
    <col min="9489" max="9489" width="10.25" style="193" bestFit="1" customWidth="1"/>
    <col min="9490" max="9728" width="9" style="193"/>
    <col min="9729" max="9729" width="19" style="193" bestFit="1" customWidth="1"/>
    <col min="9730" max="9731" width="12.5" style="193" bestFit="1" customWidth="1"/>
    <col min="9732" max="9732" width="11.625" style="193" bestFit="1" customWidth="1"/>
    <col min="9733" max="9733" width="10" style="193" bestFit="1" customWidth="1"/>
    <col min="9734" max="9734" width="11.75" style="193" bestFit="1" customWidth="1"/>
    <col min="9735" max="9735" width="11" style="193" bestFit="1" customWidth="1"/>
    <col min="9736" max="9736" width="8.5" style="193" bestFit="1" customWidth="1"/>
    <col min="9737" max="9737" width="10" style="193" bestFit="1" customWidth="1"/>
    <col min="9738" max="9738" width="11" style="193" bestFit="1" customWidth="1"/>
    <col min="9739" max="9739" width="11.75" style="193" bestFit="1" customWidth="1"/>
    <col min="9740" max="9740" width="11" style="193" bestFit="1" customWidth="1"/>
    <col min="9741" max="9741" width="10" style="193" customWidth="1"/>
    <col min="9742" max="9742" width="10" style="193" bestFit="1" customWidth="1"/>
    <col min="9743" max="9743" width="8.5" style="193" customWidth="1"/>
    <col min="9744" max="9744" width="10" style="193" bestFit="1" customWidth="1"/>
    <col min="9745" max="9745" width="10.25" style="193" bestFit="1" customWidth="1"/>
    <col min="9746" max="9984" width="9" style="193"/>
    <col min="9985" max="9985" width="19" style="193" bestFit="1" customWidth="1"/>
    <col min="9986" max="9987" width="12.5" style="193" bestFit="1" customWidth="1"/>
    <col min="9988" max="9988" width="11.625" style="193" bestFit="1" customWidth="1"/>
    <col min="9989" max="9989" width="10" style="193" bestFit="1" customWidth="1"/>
    <col min="9990" max="9990" width="11.75" style="193" bestFit="1" customWidth="1"/>
    <col min="9991" max="9991" width="11" style="193" bestFit="1" customWidth="1"/>
    <col min="9992" max="9992" width="8.5" style="193" bestFit="1" customWidth="1"/>
    <col min="9993" max="9993" width="10" style="193" bestFit="1" customWidth="1"/>
    <col min="9994" max="9994" width="11" style="193" bestFit="1" customWidth="1"/>
    <col min="9995" max="9995" width="11.75" style="193" bestFit="1" customWidth="1"/>
    <col min="9996" max="9996" width="11" style="193" bestFit="1" customWidth="1"/>
    <col min="9997" max="9997" width="10" style="193" customWidth="1"/>
    <col min="9998" max="9998" width="10" style="193" bestFit="1" customWidth="1"/>
    <col min="9999" max="9999" width="8.5" style="193" customWidth="1"/>
    <col min="10000" max="10000" width="10" style="193" bestFit="1" customWidth="1"/>
    <col min="10001" max="10001" width="10.25" style="193" bestFit="1" customWidth="1"/>
    <col min="10002" max="10240" width="9" style="193"/>
    <col min="10241" max="10241" width="19" style="193" bestFit="1" customWidth="1"/>
    <col min="10242" max="10243" width="12.5" style="193" bestFit="1" customWidth="1"/>
    <col min="10244" max="10244" width="11.625" style="193" bestFit="1" customWidth="1"/>
    <col min="10245" max="10245" width="10" style="193" bestFit="1" customWidth="1"/>
    <col min="10246" max="10246" width="11.75" style="193" bestFit="1" customWidth="1"/>
    <col min="10247" max="10247" width="11" style="193" bestFit="1" customWidth="1"/>
    <col min="10248" max="10248" width="8.5" style="193" bestFit="1" customWidth="1"/>
    <col min="10249" max="10249" width="10" style="193" bestFit="1" customWidth="1"/>
    <col min="10250" max="10250" width="11" style="193" bestFit="1" customWidth="1"/>
    <col min="10251" max="10251" width="11.75" style="193" bestFit="1" customWidth="1"/>
    <col min="10252" max="10252" width="11" style="193" bestFit="1" customWidth="1"/>
    <col min="10253" max="10253" width="10" style="193" customWidth="1"/>
    <col min="10254" max="10254" width="10" style="193" bestFit="1" customWidth="1"/>
    <col min="10255" max="10255" width="8.5" style="193" customWidth="1"/>
    <col min="10256" max="10256" width="10" style="193" bestFit="1" customWidth="1"/>
    <col min="10257" max="10257" width="10.25" style="193" bestFit="1" customWidth="1"/>
    <col min="10258" max="10496" width="9" style="193"/>
    <col min="10497" max="10497" width="19" style="193" bestFit="1" customWidth="1"/>
    <col min="10498" max="10499" width="12.5" style="193" bestFit="1" customWidth="1"/>
    <col min="10500" max="10500" width="11.625" style="193" bestFit="1" customWidth="1"/>
    <col min="10501" max="10501" width="10" style="193" bestFit="1" customWidth="1"/>
    <col min="10502" max="10502" width="11.75" style="193" bestFit="1" customWidth="1"/>
    <col min="10503" max="10503" width="11" style="193" bestFit="1" customWidth="1"/>
    <col min="10504" max="10504" width="8.5" style="193" bestFit="1" customWidth="1"/>
    <col min="10505" max="10505" width="10" style="193" bestFit="1" customWidth="1"/>
    <col min="10506" max="10506" width="11" style="193" bestFit="1" customWidth="1"/>
    <col min="10507" max="10507" width="11.75" style="193" bestFit="1" customWidth="1"/>
    <col min="10508" max="10508" width="11" style="193" bestFit="1" customWidth="1"/>
    <col min="10509" max="10509" width="10" style="193" customWidth="1"/>
    <col min="10510" max="10510" width="10" style="193" bestFit="1" customWidth="1"/>
    <col min="10511" max="10511" width="8.5" style="193" customWidth="1"/>
    <col min="10512" max="10512" width="10" style="193" bestFit="1" customWidth="1"/>
    <col min="10513" max="10513" width="10.25" style="193" bestFit="1" customWidth="1"/>
    <col min="10514" max="10752" width="9" style="193"/>
    <col min="10753" max="10753" width="19" style="193" bestFit="1" customWidth="1"/>
    <col min="10754" max="10755" width="12.5" style="193" bestFit="1" customWidth="1"/>
    <col min="10756" max="10756" width="11.625" style="193" bestFit="1" customWidth="1"/>
    <col min="10757" max="10757" width="10" style="193" bestFit="1" customWidth="1"/>
    <col min="10758" max="10758" width="11.75" style="193" bestFit="1" customWidth="1"/>
    <col min="10759" max="10759" width="11" style="193" bestFit="1" customWidth="1"/>
    <col min="10760" max="10760" width="8.5" style="193" bestFit="1" customWidth="1"/>
    <col min="10761" max="10761" width="10" style="193" bestFit="1" customWidth="1"/>
    <col min="10762" max="10762" width="11" style="193" bestFit="1" customWidth="1"/>
    <col min="10763" max="10763" width="11.75" style="193" bestFit="1" customWidth="1"/>
    <col min="10764" max="10764" width="11" style="193" bestFit="1" customWidth="1"/>
    <col min="10765" max="10765" width="10" style="193" customWidth="1"/>
    <col min="10766" max="10766" width="10" style="193" bestFit="1" customWidth="1"/>
    <col min="10767" max="10767" width="8.5" style="193" customWidth="1"/>
    <col min="10768" max="10768" width="10" style="193" bestFit="1" customWidth="1"/>
    <col min="10769" max="10769" width="10.25" style="193" bestFit="1" customWidth="1"/>
    <col min="10770" max="11008" width="9" style="193"/>
    <col min="11009" max="11009" width="19" style="193" bestFit="1" customWidth="1"/>
    <col min="11010" max="11011" width="12.5" style="193" bestFit="1" customWidth="1"/>
    <col min="11012" max="11012" width="11.625" style="193" bestFit="1" customWidth="1"/>
    <col min="11013" max="11013" width="10" style="193" bestFit="1" customWidth="1"/>
    <col min="11014" max="11014" width="11.75" style="193" bestFit="1" customWidth="1"/>
    <col min="11015" max="11015" width="11" style="193" bestFit="1" customWidth="1"/>
    <col min="11016" max="11016" width="8.5" style="193" bestFit="1" customWidth="1"/>
    <col min="11017" max="11017" width="10" style="193" bestFit="1" customWidth="1"/>
    <col min="11018" max="11018" width="11" style="193" bestFit="1" customWidth="1"/>
    <col min="11019" max="11019" width="11.75" style="193" bestFit="1" customWidth="1"/>
    <col min="11020" max="11020" width="11" style="193" bestFit="1" customWidth="1"/>
    <col min="11021" max="11021" width="10" style="193" customWidth="1"/>
    <col min="11022" max="11022" width="10" style="193" bestFit="1" customWidth="1"/>
    <col min="11023" max="11023" width="8.5" style="193" customWidth="1"/>
    <col min="11024" max="11024" width="10" style="193" bestFit="1" customWidth="1"/>
    <col min="11025" max="11025" width="10.25" style="193" bestFit="1" customWidth="1"/>
    <col min="11026" max="11264" width="9" style="193"/>
    <col min="11265" max="11265" width="19" style="193" bestFit="1" customWidth="1"/>
    <col min="11266" max="11267" width="12.5" style="193" bestFit="1" customWidth="1"/>
    <col min="11268" max="11268" width="11.625" style="193" bestFit="1" customWidth="1"/>
    <col min="11269" max="11269" width="10" style="193" bestFit="1" customWidth="1"/>
    <col min="11270" max="11270" width="11.75" style="193" bestFit="1" customWidth="1"/>
    <col min="11271" max="11271" width="11" style="193" bestFit="1" customWidth="1"/>
    <col min="11272" max="11272" width="8.5" style="193" bestFit="1" customWidth="1"/>
    <col min="11273" max="11273" width="10" style="193" bestFit="1" customWidth="1"/>
    <col min="11274" max="11274" width="11" style="193" bestFit="1" customWidth="1"/>
    <col min="11275" max="11275" width="11.75" style="193" bestFit="1" customWidth="1"/>
    <col min="11276" max="11276" width="11" style="193" bestFit="1" customWidth="1"/>
    <col min="11277" max="11277" width="10" style="193" customWidth="1"/>
    <col min="11278" max="11278" width="10" style="193" bestFit="1" customWidth="1"/>
    <col min="11279" max="11279" width="8.5" style="193" customWidth="1"/>
    <col min="11280" max="11280" width="10" style="193" bestFit="1" customWidth="1"/>
    <col min="11281" max="11281" width="10.25" style="193" bestFit="1" customWidth="1"/>
    <col min="11282" max="11520" width="9" style="193"/>
    <col min="11521" max="11521" width="19" style="193" bestFit="1" customWidth="1"/>
    <col min="11522" max="11523" width="12.5" style="193" bestFit="1" customWidth="1"/>
    <col min="11524" max="11524" width="11.625" style="193" bestFit="1" customWidth="1"/>
    <col min="11525" max="11525" width="10" style="193" bestFit="1" customWidth="1"/>
    <col min="11526" max="11526" width="11.75" style="193" bestFit="1" customWidth="1"/>
    <col min="11527" max="11527" width="11" style="193" bestFit="1" customWidth="1"/>
    <col min="11528" max="11528" width="8.5" style="193" bestFit="1" customWidth="1"/>
    <col min="11529" max="11529" width="10" style="193" bestFit="1" customWidth="1"/>
    <col min="11530" max="11530" width="11" style="193" bestFit="1" customWidth="1"/>
    <col min="11531" max="11531" width="11.75" style="193" bestFit="1" customWidth="1"/>
    <col min="11532" max="11532" width="11" style="193" bestFit="1" customWidth="1"/>
    <col min="11533" max="11533" width="10" style="193" customWidth="1"/>
    <col min="11534" max="11534" width="10" style="193" bestFit="1" customWidth="1"/>
    <col min="11535" max="11535" width="8.5" style="193" customWidth="1"/>
    <col min="11536" max="11536" width="10" style="193" bestFit="1" customWidth="1"/>
    <col min="11537" max="11537" width="10.25" style="193" bestFit="1" customWidth="1"/>
    <col min="11538" max="11776" width="9" style="193"/>
    <col min="11777" max="11777" width="19" style="193" bestFit="1" customWidth="1"/>
    <col min="11778" max="11779" width="12.5" style="193" bestFit="1" customWidth="1"/>
    <col min="11780" max="11780" width="11.625" style="193" bestFit="1" customWidth="1"/>
    <col min="11781" max="11781" width="10" style="193" bestFit="1" customWidth="1"/>
    <col min="11782" max="11782" width="11.75" style="193" bestFit="1" customWidth="1"/>
    <col min="11783" max="11783" width="11" style="193" bestFit="1" customWidth="1"/>
    <col min="11784" max="11784" width="8.5" style="193" bestFit="1" customWidth="1"/>
    <col min="11785" max="11785" width="10" style="193" bestFit="1" customWidth="1"/>
    <col min="11786" max="11786" width="11" style="193" bestFit="1" customWidth="1"/>
    <col min="11787" max="11787" width="11.75" style="193" bestFit="1" customWidth="1"/>
    <col min="11788" max="11788" width="11" style="193" bestFit="1" customWidth="1"/>
    <col min="11789" max="11789" width="10" style="193" customWidth="1"/>
    <col min="11790" max="11790" width="10" style="193" bestFit="1" customWidth="1"/>
    <col min="11791" max="11791" width="8.5" style="193" customWidth="1"/>
    <col min="11792" max="11792" width="10" style="193" bestFit="1" customWidth="1"/>
    <col min="11793" max="11793" width="10.25" style="193" bestFit="1" customWidth="1"/>
    <col min="11794" max="12032" width="9" style="193"/>
    <col min="12033" max="12033" width="19" style="193" bestFit="1" customWidth="1"/>
    <col min="12034" max="12035" width="12.5" style="193" bestFit="1" customWidth="1"/>
    <col min="12036" max="12036" width="11.625" style="193" bestFit="1" customWidth="1"/>
    <col min="12037" max="12037" width="10" style="193" bestFit="1" customWidth="1"/>
    <col min="12038" max="12038" width="11.75" style="193" bestFit="1" customWidth="1"/>
    <col min="12039" max="12039" width="11" style="193" bestFit="1" customWidth="1"/>
    <col min="12040" max="12040" width="8.5" style="193" bestFit="1" customWidth="1"/>
    <col min="12041" max="12041" width="10" style="193" bestFit="1" customWidth="1"/>
    <col min="12042" max="12042" width="11" style="193" bestFit="1" customWidth="1"/>
    <col min="12043" max="12043" width="11.75" style="193" bestFit="1" customWidth="1"/>
    <col min="12044" max="12044" width="11" style="193" bestFit="1" customWidth="1"/>
    <col min="12045" max="12045" width="10" style="193" customWidth="1"/>
    <col min="12046" max="12046" width="10" style="193" bestFit="1" customWidth="1"/>
    <col min="12047" max="12047" width="8.5" style="193" customWidth="1"/>
    <col min="12048" max="12048" width="10" style="193" bestFit="1" customWidth="1"/>
    <col min="12049" max="12049" width="10.25" style="193" bestFit="1" customWidth="1"/>
    <col min="12050" max="12288" width="9" style="193"/>
    <col min="12289" max="12289" width="19" style="193" bestFit="1" customWidth="1"/>
    <col min="12290" max="12291" width="12.5" style="193" bestFit="1" customWidth="1"/>
    <col min="12292" max="12292" width="11.625" style="193" bestFit="1" customWidth="1"/>
    <col min="12293" max="12293" width="10" style="193" bestFit="1" customWidth="1"/>
    <col min="12294" max="12294" width="11.75" style="193" bestFit="1" customWidth="1"/>
    <col min="12295" max="12295" width="11" style="193" bestFit="1" customWidth="1"/>
    <col min="12296" max="12296" width="8.5" style="193" bestFit="1" customWidth="1"/>
    <col min="12297" max="12297" width="10" style="193" bestFit="1" customWidth="1"/>
    <col min="12298" max="12298" width="11" style="193" bestFit="1" customWidth="1"/>
    <col min="12299" max="12299" width="11.75" style="193" bestFit="1" customWidth="1"/>
    <col min="12300" max="12300" width="11" style="193" bestFit="1" customWidth="1"/>
    <col min="12301" max="12301" width="10" style="193" customWidth="1"/>
    <col min="12302" max="12302" width="10" style="193" bestFit="1" customWidth="1"/>
    <col min="12303" max="12303" width="8.5" style="193" customWidth="1"/>
    <col min="12304" max="12304" width="10" style="193" bestFit="1" customWidth="1"/>
    <col min="12305" max="12305" width="10.25" style="193" bestFit="1" customWidth="1"/>
    <col min="12306" max="12544" width="9" style="193"/>
    <col min="12545" max="12545" width="19" style="193" bestFit="1" customWidth="1"/>
    <col min="12546" max="12547" width="12.5" style="193" bestFit="1" customWidth="1"/>
    <col min="12548" max="12548" width="11.625" style="193" bestFit="1" customWidth="1"/>
    <col min="12549" max="12549" width="10" style="193" bestFit="1" customWidth="1"/>
    <col min="12550" max="12550" width="11.75" style="193" bestFit="1" customWidth="1"/>
    <col min="12551" max="12551" width="11" style="193" bestFit="1" customWidth="1"/>
    <col min="12552" max="12552" width="8.5" style="193" bestFit="1" customWidth="1"/>
    <col min="12553" max="12553" width="10" style="193" bestFit="1" customWidth="1"/>
    <col min="12554" max="12554" width="11" style="193" bestFit="1" customWidth="1"/>
    <col min="12555" max="12555" width="11.75" style="193" bestFit="1" customWidth="1"/>
    <col min="12556" max="12556" width="11" style="193" bestFit="1" customWidth="1"/>
    <col min="12557" max="12557" width="10" style="193" customWidth="1"/>
    <col min="12558" max="12558" width="10" style="193" bestFit="1" customWidth="1"/>
    <col min="12559" max="12559" width="8.5" style="193" customWidth="1"/>
    <col min="12560" max="12560" width="10" style="193" bestFit="1" customWidth="1"/>
    <col min="12561" max="12561" width="10.25" style="193" bestFit="1" customWidth="1"/>
    <col min="12562" max="12800" width="9" style="193"/>
    <col min="12801" max="12801" width="19" style="193" bestFit="1" customWidth="1"/>
    <col min="12802" max="12803" width="12.5" style="193" bestFit="1" customWidth="1"/>
    <col min="12804" max="12804" width="11.625" style="193" bestFit="1" customWidth="1"/>
    <col min="12805" max="12805" width="10" style="193" bestFit="1" customWidth="1"/>
    <col min="12806" max="12806" width="11.75" style="193" bestFit="1" customWidth="1"/>
    <col min="12807" max="12807" width="11" style="193" bestFit="1" customWidth="1"/>
    <col min="12808" max="12808" width="8.5" style="193" bestFit="1" customWidth="1"/>
    <col min="12809" max="12809" width="10" style="193" bestFit="1" customWidth="1"/>
    <col min="12810" max="12810" width="11" style="193" bestFit="1" customWidth="1"/>
    <col min="12811" max="12811" width="11.75" style="193" bestFit="1" customWidth="1"/>
    <col min="12812" max="12812" width="11" style="193" bestFit="1" customWidth="1"/>
    <col min="12813" max="12813" width="10" style="193" customWidth="1"/>
    <col min="12814" max="12814" width="10" style="193" bestFit="1" customWidth="1"/>
    <col min="12815" max="12815" width="8.5" style="193" customWidth="1"/>
    <col min="12816" max="12816" width="10" style="193" bestFit="1" customWidth="1"/>
    <col min="12817" max="12817" width="10.25" style="193" bestFit="1" customWidth="1"/>
    <col min="12818" max="13056" width="9" style="193"/>
    <col min="13057" max="13057" width="19" style="193" bestFit="1" customWidth="1"/>
    <col min="13058" max="13059" width="12.5" style="193" bestFit="1" customWidth="1"/>
    <col min="13060" max="13060" width="11.625" style="193" bestFit="1" customWidth="1"/>
    <col min="13061" max="13061" width="10" style="193" bestFit="1" customWidth="1"/>
    <col min="13062" max="13062" width="11.75" style="193" bestFit="1" customWidth="1"/>
    <col min="13063" max="13063" width="11" style="193" bestFit="1" customWidth="1"/>
    <col min="13064" max="13064" width="8.5" style="193" bestFit="1" customWidth="1"/>
    <col min="13065" max="13065" width="10" style="193" bestFit="1" customWidth="1"/>
    <col min="13066" max="13066" width="11" style="193" bestFit="1" customWidth="1"/>
    <col min="13067" max="13067" width="11.75" style="193" bestFit="1" customWidth="1"/>
    <col min="13068" max="13068" width="11" style="193" bestFit="1" customWidth="1"/>
    <col min="13069" max="13069" width="10" style="193" customWidth="1"/>
    <col min="13070" max="13070" width="10" style="193" bestFit="1" customWidth="1"/>
    <col min="13071" max="13071" width="8.5" style="193" customWidth="1"/>
    <col min="13072" max="13072" width="10" style="193" bestFit="1" customWidth="1"/>
    <col min="13073" max="13073" width="10.25" style="193" bestFit="1" customWidth="1"/>
    <col min="13074" max="13312" width="9" style="193"/>
    <col min="13313" max="13313" width="19" style="193" bestFit="1" customWidth="1"/>
    <col min="13314" max="13315" width="12.5" style="193" bestFit="1" customWidth="1"/>
    <col min="13316" max="13316" width="11.625" style="193" bestFit="1" customWidth="1"/>
    <col min="13317" max="13317" width="10" style="193" bestFit="1" customWidth="1"/>
    <col min="13318" max="13318" width="11.75" style="193" bestFit="1" customWidth="1"/>
    <col min="13319" max="13319" width="11" style="193" bestFit="1" customWidth="1"/>
    <col min="13320" max="13320" width="8.5" style="193" bestFit="1" customWidth="1"/>
    <col min="13321" max="13321" width="10" style="193" bestFit="1" customWidth="1"/>
    <col min="13322" max="13322" width="11" style="193" bestFit="1" customWidth="1"/>
    <col min="13323" max="13323" width="11.75" style="193" bestFit="1" customWidth="1"/>
    <col min="13324" max="13324" width="11" style="193" bestFit="1" customWidth="1"/>
    <col min="13325" max="13325" width="10" style="193" customWidth="1"/>
    <col min="13326" max="13326" width="10" style="193" bestFit="1" customWidth="1"/>
    <col min="13327" max="13327" width="8.5" style="193" customWidth="1"/>
    <col min="13328" max="13328" width="10" style="193" bestFit="1" customWidth="1"/>
    <col min="13329" max="13329" width="10.25" style="193" bestFit="1" customWidth="1"/>
    <col min="13330" max="13568" width="9" style="193"/>
    <col min="13569" max="13569" width="19" style="193" bestFit="1" customWidth="1"/>
    <col min="13570" max="13571" width="12.5" style="193" bestFit="1" customWidth="1"/>
    <col min="13572" max="13572" width="11.625" style="193" bestFit="1" customWidth="1"/>
    <col min="13573" max="13573" width="10" style="193" bestFit="1" customWidth="1"/>
    <col min="13574" max="13574" width="11.75" style="193" bestFit="1" customWidth="1"/>
    <col min="13575" max="13575" width="11" style="193" bestFit="1" customWidth="1"/>
    <col min="13576" max="13576" width="8.5" style="193" bestFit="1" customWidth="1"/>
    <col min="13577" max="13577" width="10" style="193" bestFit="1" customWidth="1"/>
    <col min="13578" max="13578" width="11" style="193" bestFit="1" customWidth="1"/>
    <col min="13579" max="13579" width="11.75" style="193" bestFit="1" customWidth="1"/>
    <col min="13580" max="13580" width="11" style="193" bestFit="1" customWidth="1"/>
    <col min="13581" max="13581" width="10" style="193" customWidth="1"/>
    <col min="13582" max="13582" width="10" style="193" bestFit="1" customWidth="1"/>
    <col min="13583" max="13583" width="8.5" style="193" customWidth="1"/>
    <col min="13584" max="13584" width="10" style="193" bestFit="1" customWidth="1"/>
    <col min="13585" max="13585" width="10.25" style="193" bestFit="1" customWidth="1"/>
    <col min="13586" max="13824" width="9" style="193"/>
    <col min="13825" max="13825" width="19" style="193" bestFit="1" customWidth="1"/>
    <col min="13826" max="13827" width="12.5" style="193" bestFit="1" customWidth="1"/>
    <col min="13828" max="13828" width="11.625" style="193" bestFit="1" customWidth="1"/>
    <col min="13829" max="13829" width="10" style="193" bestFit="1" customWidth="1"/>
    <col min="13830" max="13830" width="11.75" style="193" bestFit="1" customWidth="1"/>
    <col min="13831" max="13831" width="11" style="193" bestFit="1" customWidth="1"/>
    <col min="13832" max="13832" width="8.5" style="193" bestFit="1" customWidth="1"/>
    <col min="13833" max="13833" width="10" style="193" bestFit="1" customWidth="1"/>
    <col min="13834" max="13834" width="11" style="193" bestFit="1" customWidth="1"/>
    <col min="13835" max="13835" width="11.75" style="193" bestFit="1" customWidth="1"/>
    <col min="13836" max="13836" width="11" style="193" bestFit="1" customWidth="1"/>
    <col min="13837" max="13837" width="10" style="193" customWidth="1"/>
    <col min="13838" max="13838" width="10" style="193" bestFit="1" customWidth="1"/>
    <col min="13839" max="13839" width="8.5" style="193" customWidth="1"/>
    <col min="13840" max="13840" width="10" style="193" bestFit="1" customWidth="1"/>
    <col min="13841" max="13841" width="10.25" style="193" bestFit="1" customWidth="1"/>
    <col min="13842" max="14080" width="9" style="193"/>
    <col min="14081" max="14081" width="19" style="193" bestFit="1" customWidth="1"/>
    <col min="14082" max="14083" width="12.5" style="193" bestFit="1" customWidth="1"/>
    <col min="14084" max="14084" width="11.625" style="193" bestFit="1" customWidth="1"/>
    <col min="14085" max="14085" width="10" style="193" bestFit="1" customWidth="1"/>
    <col min="14086" max="14086" width="11.75" style="193" bestFit="1" customWidth="1"/>
    <col min="14087" max="14087" width="11" style="193" bestFit="1" customWidth="1"/>
    <col min="14088" max="14088" width="8.5" style="193" bestFit="1" customWidth="1"/>
    <col min="14089" max="14089" width="10" style="193" bestFit="1" customWidth="1"/>
    <col min="14090" max="14090" width="11" style="193" bestFit="1" customWidth="1"/>
    <col min="14091" max="14091" width="11.75" style="193" bestFit="1" customWidth="1"/>
    <col min="14092" max="14092" width="11" style="193" bestFit="1" customWidth="1"/>
    <col min="14093" max="14093" width="10" style="193" customWidth="1"/>
    <col min="14094" max="14094" width="10" style="193" bestFit="1" customWidth="1"/>
    <col min="14095" max="14095" width="8.5" style="193" customWidth="1"/>
    <col min="14096" max="14096" width="10" style="193" bestFit="1" customWidth="1"/>
    <col min="14097" max="14097" width="10.25" style="193" bestFit="1" customWidth="1"/>
    <col min="14098" max="14336" width="9" style="193"/>
    <col min="14337" max="14337" width="19" style="193" bestFit="1" customWidth="1"/>
    <col min="14338" max="14339" width="12.5" style="193" bestFit="1" customWidth="1"/>
    <col min="14340" max="14340" width="11.625" style="193" bestFit="1" customWidth="1"/>
    <col min="14341" max="14341" width="10" style="193" bestFit="1" customWidth="1"/>
    <col min="14342" max="14342" width="11.75" style="193" bestFit="1" customWidth="1"/>
    <col min="14343" max="14343" width="11" style="193" bestFit="1" customWidth="1"/>
    <col min="14344" max="14344" width="8.5" style="193" bestFit="1" customWidth="1"/>
    <col min="14345" max="14345" width="10" style="193" bestFit="1" customWidth="1"/>
    <col min="14346" max="14346" width="11" style="193" bestFit="1" customWidth="1"/>
    <col min="14347" max="14347" width="11.75" style="193" bestFit="1" customWidth="1"/>
    <col min="14348" max="14348" width="11" style="193" bestFit="1" customWidth="1"/>
    <col min="14349" max="14349" width="10" style="193" customWidth="1"/>
    <col min="14350" max="14350" width="10" style="193" bestFit="1" customWidth="1"/>
    <col min="14351" max="14351" width="8.5" style="193" customWidth="1"/>
    <col min="14352" max="14352" width="10" style="193" bestFit="1" customWidth="1"/>
    <col min="14353" max="14353" width="10.25" style="193" bestFit="1" customWidth="1"/>
    <col min="14354" max="14592" width="9" style="193"/>
    <col min="14593" max="14593" width="19" style="193" bestFit="1" customWidth="1"/>
    <col min="14594" max="14595" width="12.5" style="193" bestFit="1" customWidth="1"/>
    <col min="14596" max="14596" width="11.625" style="193" bestFit="1" customWidth="1"/>
    <col min="14597" max="14597" width="10" style="193" bestFit="1" customWidth="1"/>
    <col min="14598" max="14598" width="11.75" style="193" bestFit="1" customWidth="1"/>
    <col min="14599" max="14599" width="11" style="193" bestFit="1" customWidth="1"/>
    <col min="14600" max="14600" width="8.5" style="193" bestFit="1" customWidth="1"/>
    <col min="14601" max="14601" width="10" style="193" bestFit="1" customWidth="1"/>
    <col min="14602" max="14602" width="11" style="193" bestFit="1" customWidth="1"/>
    <col min="14603" max="14603" width="11.75" style="193" bestFit="1" customWidth="1"/>
    <col min="14604" max="14604" width="11" style="193" bestFit="1" customWidth="1"/>
    <col min="14605" max="14605" width="10" style="193" customWidth="1"/>
    <col min="14606" max="14606" width="10" style="193" bestFit="1" customWidth="1"/>
    <col min="14607" max="14607" width="8.5" style="193" customWidth="1"/>
    <col min="14608" max="14608" width="10" style="193" bestFit="1" customWidth="1"/>
    <col min="14609" max="14609" width="10.25" style="193" bestFit="1" customWidth="1"/>
    <col min="14610" max="14848" width="9" style="193"/>
    <col min="14849" max="14849" width="19" style="193" bestFit="1" customWidth="1"/>
    <col min="14850" max="14851" width="12.5" style="193" bestFit="1" customWidth="1"/>
    <col min="14852" max="14852" width="11.625" style="193" bestFit="1" customWidth="1"/>
    <col min="14853" max="14853" width="10" style="193" bestFit="1" customWidth="1"/>
    <col min="14854" max="14854" width="11.75" style="193" bestFit="1" customWidth="1"/>
    <col min="14855" max="14855" width="11" style="193" bestFit="1" customWidth="1"/>
    <col min="14856" max="14856" width="8.5" style="193" bestFit="1" customWidth="1"/>
    <col min="14857" max="14857" width="10" style="193" bestFit="1" customWidth="1"/>
    <col min="14858" max="14858" width="11" style="193" bestFit="1" customWidth="1"/>
    <col min="14859" max="14859" width="11.75" style="193" bestFit="1" customWidth="1"/>
    <col min="14860" max="14860" width="11" style="193" bestFit="1" customWidth="1"/>
    <col min="14861" max="14861" width="10" style="193" customWidth="1"/>
    <col min="14862" max="14862" width="10" style="193" bestFit="1" customWidth="1"/>
    <col min="14863" max="14863" width="8.5" style="193" customWidth="1"/>
    <col min="14864" max="14864" width="10" style="193" bestFit="1" customWidth="1"/>
    <col min="14865" max="14865" width="10.25" style="193" bestFit="1" customWidth="1"/>
    <col min="14866" max="15104" width="9" style="193"/>
    <col min="15105" max="15105" width="19" style="193" bestFit="1" customWidth="1"/>
    <col min="15106" max="15107" width="12.5" style="193" bestFit="1" customWidth="1"/>
    <col min="15108" max="15108" width="11.625" style="193" bestFit="1" customWidth="1"/>
    <col min="15109" max="15109" width="10" style="193" bestFit="1" customWidth="1"/>
    <col min="15110" max="15110" width="11.75" style="193" bestFit="1" customWidth="1"/>
    <col min="15111" max="15111" width="11" style="193" bestFit="1" customWidth="1"/>
    <col min="15112" max="15112" width="8.5" style="193" bestFit="1" customWidth="1"/>
    <col min="15113" max="15113" width="10" style="193" bestFit="1" customWidth="1"/>
    <col min="15114" max="15114" width="11" style="193" bestFit="1" customWidth="1"/>
    <col min="15115" max="15115" width="11.75" style="193" bestFit="1" customWidth="1"/>
    <col min="15116" max="15116" width="11" style="193" bestFit="1" customWidth="1"/>
    <col min="15117" max="15117" width="10" style="193" customWidth="1"/>
    <col min="15118" max="15118" width="10" style="193" bestFit="1" customWidth="1"/>
    <col min="15119" max="15119" width="8.5" style="193" customWidth="1"/>
    <col min="15120" max="15120" width="10" style="193" bestFit="1" customWidth="1"/>
    <col min="15121" max="15121" width="10.25" style="193" bestFit="1" customWidth="1"/>
    <col min="15122" max="15360" width="9" style="193"/>
    <col min="15361" max="15361" width="19" style="193" bestFit="1" customWidth="1"/>
    <col min="15362" max="15363" width="12.5" style="193" bestFit="1" customWidth="1"/>
    <col min="15364" max="15364" width="11.625" style="193" bestFit="1" customWidth="1"/>
    <col min="15365" max="15365" width="10" style="193" bestFit="1" customWidth="1"/>
    <col min="15366" max="15366" width="11.75" style="193" bestFit="1" customWidth="1"/>
    <col min="15367" max="15367" width="11" style="193" bestFit="1" customWidth="1"/>
    <col min="15368" max="15368" width="8.5" style="193" bestFit="1" customWidth="1"/>
    <col min="15369" max="15369" width="10" style="193" bestFit="1" customWidth="1"/>
    <col min="15370" max="15370" width="11" style="193" bestFit="1" customWidth="1"/>
    <col min="15371" max="15371" width="11.75" style="193" bestFit="1" customWidth="1"/>
    <col min="15372" max="15372" width="11" style="193" bestFit="1" customWidth="1"/>
    <col min="15373" max="15373" width="10" style="193" customWidth="1"/>
    <col min="15374" max="15374" width="10" style="193" bestFit="1" customWidth="1"/>
    <col min="15375" max="15375" width="8.5" style="193" customWidth="1"/>
    <col min="15376" max="15376" width="10" style="193" bestFit="1" customWidth="1"/>
    <col min="15377" max="15377" width="10.25" style="193" bestFit="1" customWidth="1"/>
    <col min="15378" max="15616" width="9" style="193"/>
    <col min="15617" max="15617" width="19" style="193" bestFit="1" customWidth="1"/>
    <col min="15618" max="15619" width="12.5" style="193" bestFit="1" customWidth="1"/>
    <col min="15620" max="15620" width="11.625" style="193" bestFit="1" customWidth="1"/>
    <col min="15621" max="15621" width="10" style="193" bestFit="1" customWidth="1"/>
    <col min="15622" max="15622" width="11.75" style="193" bestFit="1" customWidth="1"/>
    <col min="15623" max="15623" width="11" style="193" bestFit="1" customWidth="1"/>
    <col min="15624" max="15624" width="8.5" style="193" bestFit="1" customWidth="1"/>
    <col min="15625" max="15625" width="10" style="193" bestFit="1" customWidth="1"/>
    <col min="15626" max="15626" width="11" style="193" bestFit="1" customWidth="1"/>
    <col min="15627" max="15627" width="11.75" style="193" bestFit="1" customWidth="1"/>
    <col min="15628" max="15628" width="11" style="193" bestFit="1" customWidth="1"/>
    <col min="15629" max="15629" width="10" style="193" customWidth="1"/>
    <col min="15630" max="15630" width="10" style="193" bestFit="1" customWidth="1"/>
    <col min="15631" max="15631" width="8.5" style="193" customWidth="1"/>
    <col min="15632" max="15632" width="10" style="193" bestFit="1" customWidth="1"/>
    <col min="15633" max="15633" width="10.25" style="193" bestFit="1" customWidth="1"/>
    <col min="15634" max="15872" width="9" style="193"/>
    <col min="15873" max="15873" width="19" style="193" bestFit="1" customWidth="1"/>
    <col min="15874" max="15875" width="12.5" style="193" bestFit="1" customWidth="1"/>
    <col min="15876" max="15876" width="11.625" style="193" bestFit="1" customWidth="1"/>
    <col min="15877" max="15877" width="10" style="193" bestFit="1" customWidth="1"/>
    <col min="15878" max="15878" width="11.75" style="193" bestFit="1" customWidth="1"/>
    <col min="15879" max="15879" width="11" style="193" bestFit="1" customWidth="1"/>
    <col min="15880" max="15880" width="8.5" style="193" bestFit="1" customWidth="1"/>
    <col min="15881" max="15881" width="10" style="193" bestFit="1" customWidth="1"/>
    <col min="15882" max="15882" width="11" style="193" bestFit="1" customWidth="1"/>
    <col min="15883" max="15883" width="11.75" style="193" bestFit="1" customWidth="1"/>
    <col min="15884" max="15884" width="11" style="193" bestFit="1" customWidth="1"/>
    <col min="15885" max="15885" width="10" style="193" customWidth="1"/>
    <col min="15886" max="15886" width="10" style="193" bestFit="1" customWidth="1"/>
    <col min="15887" max="15887" width="8.5" style="193" customWidth="1"/>
    <col min="15888" max="15888" width="10" style="193" bestFit="1" customWidth="1"/>
    <col min="15889" max="15889" width="10.25" style="193" bestFit="1" customWidth="1"/>
    <col min="15890" max="16128" width="9" style="193"/>
    <col min="16129" max="16129" width="19" style="193" bestFit="1" customWidth="1"/>
    <col min="16130" max="16131" width="12.5" style="193" bestFit="1" customWidth="1"/>
    <col min="16132" max="16132" width="11.625" style="193" bestFit="1" customWidth="1"/>
    <col min="16133" max="16133" width="10" style="193" bestFit="1" customWidth="1"/>
    <col min="16134" max="16134" width="11.75" style="193" bestFit="1" customWidth="1"/>
    <col min="16135" max="16135" width="11" style="193" bestFit="1" customWidth="1"/>
    <col min="16136" max="16136" width="8.5" style="193" bestFit="1" customWidth="1"/>
    <col min="16137" max="16137" width="10" style="193" bestFit="1" customWidth="1"/>
    <col min="16138" max="16138" width="11" style="193" bestFit="1" customWidth="1"/>
    <col min="16139" max="16139" width="11.75" style="193" bestFit="1" customWidth="1"/>
    <col min="16140" max="16140" width="11" style="193" bestFit="1" customWidth="1"/>
    <col min="16141" max="16141" width="10" style="193" customWidth="1"/>
    <col min="16142" max="16142" width="10" style="193" bestFit="1" customWidth="1"/>
    <col min="16143" max="16143" width="8.5" style="193" customWidth="1"/>
    <col min="16144" max="16144" width="10" style="193" bestFit="1" customWidth="1"/>
    <col min="16145" max="16145" width="10.25" style="193" bestFit="1" customWidth="1"/>
    <col min="16146" max="16384" width="9" style="193"/>
  </cols>
  <sheetData>
    <row r="1" spans="1:17" ht="36.75" customHeight="1">
      <c r="A1" s="722" t="s">
        <v>1716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</row>
    <row r="2" spans="1:17" s="203" customFormat="1" ht="18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71" t="s">
        <v>1717</v>
      </c>
    </row>
    <row r="3" spans="1:17" s="204" customFormat="1" ht="18.75" customHeight="1" thickBot="1">
      <c r="A3" s="343" t="s">
        <v>1499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71" t="s">
        <v>1569</v>
      </c>
    </row>
    <row r="4" spans="1:17" s="205" customFormat="1" ht="52.5" customHeight="1" thickBot="1">
      <c r="A4" s="406" t="s">
        <v>1718</v>
      </c>
      <c r="B4" s="406" t="s">
        <v>1719</v>
      </c>
      <c r="C4" s="407" t="s">
        <v>1720</v>
      </c>
      <c r="D4" s="408" t="s">
        <v>1721</v>
      </c>
      <c r="E4" s="408" t="s">
        <v>1504</v>
      </c>
      <c r="F4" s="408" t="s">
        <v>1505</v>
      </c>
      <c r="G4" s="408" t="s">
        <v>1722</v>
      </c>
      <c r="H4" s="408" t="s">
        <v>1723</v>
      </c>
      <c r="I4" s="408" t="s">
        <v>1724</v>
      </c>
      <c r="J4" s="409" t="s">
        <v>1507</v>
      </c>
      <c r="K4" s="409" t="s">
        <v>1508</v>
      </c>
      <c r="L4" s="409" t="s">
        <v>1509</v>
      </c>
      <c r="M4" s="410" t="s">
        <v>1725</v>
      </c>
      <c r="N4" s="410" t="s">
        <v>1726</v>
      </c>
      <c r="O4" s="410" t="s">
        <v>1727</v>
      </c>
      <c r="P4" s="410" t="s">
        <v>1728</v>
      </c>
      <c r="Q4" s="411" t="s">
        <v>1729</v>
      </c>
    </row>
    <row r="5" spans="1:17" s="205" customFormat="1" ht="22.5" customHeight="1">
      <c r="A5" s="412" t="s">
        <v>1730</v>
      </c>
      <c r="B5" s="413" t="s">
        <v>1542</v>
      </c>
      <c r="C5" s="414" t="s">
        <v>1542</v>
      </c>
      <c r="D5" s="415" t="s">
        <v>1542</v>
      </c>
      <c r="E5" s="416" t="s">
        <v>1542</v>
      </c>
      <c r="F5" s="415" t="s">
        <v>1542</v>
      </c>
      <c r="G5" s="416" t="s">
        <v>1542</v>
      </c>
      <c r="H5" s="415" t="s">
        <v>1542</v>
      </c>
      <c r="I5" s="415" t="s">
        <v>1542</v>
      </c>
      <c r="J5" s="415" t="s">
        <v>1542</v>
      </c>
      <c r="K5" s="415" t="s">
        <v>1542</v>
      </c>
      <c r="L5" s="415" t="s">
        <v>1542</v>
      </c>
      <c r="M5" s="415" t="s">
        <v>1542</v>
      </c>
      <c r="N5" s="415" t="s">
        <v>1542</v>
      </c>
      <c r="O5" s="415" t="s">
        <v>1542</v>
      </c>
      <c r="P5" s="415" t="s">
        <v>1542</v>
      </c>
      <c r="Q5" s="417" t="s">
        <v>1542</v>
      </c>
    </row>
    <row r="6" spans="1:17" s="205" customFormat="1" ht="22.5" customHeight="1">
      <c r="A6" s="418" t="s">
        <v>1731</v>
      </c>
      <c r="B6" s="419">
        <f t="shared" ref="B6:B16" si="0">SUM(C6:Q6)</f>
        <v>291674982801.19</v>
      </c>
      <c r="C6" s="261">
        <f t="shared" ref="C6:Q6" si="1">C7+C9+C10+C12</f>
        <v>226288938537</v>
      </c>
      <c r="D6" s="262">
        <f t="shared" si="1"/>
        <v>0</v>
      </c>
      <c r="E6" s="262">
        <f t="shared" si="1"/>
        <v>52952829.450000003</v>
      </c>
      <c r="F6" s="262">
        <f t="shared" si="1"/>
        <v>44437783651.440002</v>
      </c>
      <c r="G6" s="262">
        <f t="shared" si="1"/>
        <v>1095438836.5999999</v>
      </c>
      <c r="H6" s="262">
        <f t="shared" si="1"/>
        <v>0</v>
      </c>
      <c r="I6" s="262">
        <f t="shared" si="1"/>
        <v>0</v>
      </c>
      <c r="J6" s="262">
        <f t="shared" si="1"/>
        <v>4520611836.7200003</v>
      </c>
      <c r="K6" s="262">
        <f t="shared" si="1"/>
        <v>11785984158.48</v>
      </c>
      <c r="L6" s="262">
        <f t="shared" si="1"/>
        <v>2987509005.0700002</v>
      </c>
      <c r="M6" s="262">
        <f t="shared" si="1"/>
        <v>505763946.43000001</v>
      </c>
      <c r="N6" s="262">
        <f t="shared" si="1"/>
        <v>0</v>
      </c>
      <c r="O6" s="262">
        <f t="shared" si="1"/>
        <v>0</v>
      </c>
      <c r="P6" s="262">
        <f t="shared" si="1"/>
        <v>0</v>
      </c>
      <c r="Q6" s="264">
        <f t="shared" si="1"/>
        <v>0</v>
      </c>
    </row>
    <row r="7" spans="1:17" s="205" customFormat="1" ht="22.5" customHeight="1">
      <c r="A7" s="418" t="s">
        <v>1732</v>
      </c>
      <c r="B7" s="419">
        <f t="shared" si="0"/>
        <v>251674982801.19003</v>
      </c>
      <c r="C7" s="261">
        <v>186288938537</v>
      </c>
      <c r="D7" s="262"/>
      <c r="E7" s="262">
        <v>52952829.450000003</v>
      </c>
      <c r="F7" s="263">
        <v>44437783651.440002</v>
      </c>
      <c r="G7" s="262">
        <v>1095438836.5999999</v>
      </c>
      <c r="H7" s="262"/>
      <c r="I7" s="262"/>
      <c r="J7" s="262">
        <v>4520611836.7200003</v>
      </c>
      <c r="K7" s="262">
        <v>11785984158.48</v>
      </c>
      <c r="L7" s="262">
        <v>2987509005.0700002</v>
      </c>
      <c r="M7" s="262">
        <v>505763946.43000001</v>
      </c>
      <c r="N7" s="262"/>
      <c r="O7" s="262"/>
      <c r="P7" s="262"/>
      <c r="Q7" s="264"/>
    </row>
    <row r="8" spans="1:17" s="205" customFormat="1" ht="22.5" customHeight="1">
      <c r="A8" s="418" t="s">
        <v>1733</v>
      </c>
      <c r="B8" s="419">
        <f t="shared" si="0"/>
        <v>247563608608.83002</v>
      </c>
      <c r="C8" s="261">
        <v>184211050137.37</v>
      </c>
      <c r="D8" s="262"/>
      <c r="E8" s="262">
        <v>36994069.18</v>
      </c>
      <c r="F8" s="262">
        <v>43337980025.470001</v>
      </c>
      <c r="G8" s="262">
        <v>927440885.13</v>
      </c>
      <c r="H8" s="262">
        <v>0</v>
      </c>
      <c r="I8" s="262">
        <v>0</v>
      </c>
      <c r="J8" s="262">
        <v>4421592659.25</v>
      </c>
      <c r="K8" s="262">
        <v>11716159068.540001</v>
      </c>
      <c r="L8" s="262">
        <v>2912391763.8899999</v>
      </c>
      <c r="M8" s="262"/>
      <c r="N8" s="262"/>
      <c r="O8" s="262"/>
      <c r="P8" s="262"/>
      <c r="Q8" s="264"/>
    </row>
    <row r="9" spans="1:17" s="205" customFormat="1" ht="22.5" customHeight="1">
      <c r="A9" s="418" t="s">
        <v>1734</v>
      </c>
      <c r="B9" s="419">
        <f t="shared" si="0"/>
        <v>0</v>
      </c>
      <c r="C9" s="261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4"/>
    </row>
    <row r="10" spans="1:17" s="205" customFormat="1" ht="22.5" customHeight="1">
      <c r="A10" s="418" t="s">
        <v>1735</v>
      </c>
      <c r="B10" s="419">
        <f t="shared" si="0"/>
        <v>40000000000</v>
      </c>
      <c r="C10" s="261">
        <v>40000000000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4"/>
    </row>
    <row r="11" spans="1:17" s="205" customFormat="1" ht="22.5" customHeight="1">
      <c r="A11" s="418" t="s">
        <v>1736</v>
      </c>
      <c r="B11" s="419">
        <f t="shared" si="0"/>
        <v>40000000000</v>
      </c>
      <c r="C11" s="261">
        <v>40000000000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4"/>
    </row>
    <row r="12" spans="1:17" s="205" customFormat="1" ht="22.5" customHeight="1">
      <c r="A12" s="418" t="s">
        <v>1737</v>
      </c>
      <c r="B12" s="419">
        <f t="shared" si="0"/>
        <v>0</v>
      </c>
      <c r="C12" s="26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4"/>
    </row>
    <row r="13" spans="1:17" s="205" customFormat="1" ht="22.5" customHeight="1">
      <c r="A13" s="418" t="s">
        <v>1738</v>
      </c>
      <c r="B13" s="419">
        <f t="shared" si="0"/>
        <v>911180371.36000001</v>
      </c>
      <c r="C13" s="261">
        <f t="shared" ref="C13:J13" si="2">SUM(C14:C15)</f>
        <v>899180129.63999999</v>
      </c>
      <c r="D13" s="262">
        <f t="shared" si="2"/>
        <v>0</v>
      </c>
      <c r="E13" s="262">
        <f t="shared" si="2"/>
        <v>11997680.380000001</v>
      </c>
      <c r="F13" s="262">
        <f t="shared" si="2"/>
        <v>0</v>
      </c>
      <c r="G13" s="262">
        <f t="shared" si="2"/>
        <v>2561.34</v>
      </c>
      <c r="H13" s="262">
        <f t="shared" si="2"/>
        <v>0</v>
      </c>
      <c r="I13" s="262">
        <f t="shared" si="2"/>
        <v>0</v>
      </c>
      <c r="J13" s="262">
        <f t="shared" si="2"/>
        <v>0</v>
      </c>
      <c r="K13" s="262">
        <f t="shared" ref="K13:Q13" si="3">SUM(K14:K15)</f>
        <v>0</v>
      </c>
      <c r="L13" s="262">
        <f t="shared" si="3"/>
        <v>0</v>
      </c>
      <c r="M13" s="262">
        <f t="shared" si="3"/>
        <v>0</v>
      </c>
      <c r="N13" s="262">
        <f t="shared" si="3"/>
        <v>0</v>
      </c>
      <c r="O13" s="262">
        <f t="shared" si="3"/>
        <v>0</v>
      </c>
      <c r="P13" s="262">
        <f t="shared" si="3"/>
        <v>0</v>
      </c>
      <c r="Q13" s="264">
        <f t="shared" si="3"/>
        <v>0</v>
      </c>
    </row>
    <row r="14" spans="1:17" s="205" customFormat="1" ht="22.5" customHeight="1">
      <c r="A14" s="418" t="s">
        <v>1739</v>
      </c>
      <c r="B14" s="419">
        <f t="shared" si="0"/>
        <v>0</v>
      </c>
      <c r="C14" s="261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4"/>
    </row>
    <row r="15" spans="1:17" s="205" customFormat="1" ht="22.5" customHeight="1">
      <c r="A15" s="418" t="s">
        <v>1740</v>
      </c>
      <c r="B15" s="419">
        <f t="shared" si="0"/>
        <v>911180371.36000001</v>
      </c>
      <c r="C15" s="261">
        <v>899180129.63999999</v>
      </c>
      <c r="D15" s="262"/>
      <c r="E15" s="263">
        <v>11997680.380000001</v>
      </c>
      <c r="F15" s="262"/>
      <c r="G15" s="263">
        <v>2561.34</v>
      </c>
      <c r="H15" s="262"/>
      <c r="I15" s="262"/>
      <c r="J15" s="262"/>
      <c r="K15" s="262"/>
      <c r="L15" s="262"/>
      <c r="M15" s="262"/>
      <c r="N15" s="262"/>
      <c r="O15" s="262"/>
      <c r="P15" s="262"/>
      <c r="Q15" s="264"/>
    </row>
    <row r="16" spans="1:17" s="205" customFormat="1" ht="22.5" customHeight="1" thickBot="1">
      <c r="A16" s="420" t="s">
        <v>1741</v>
      </c>
      <c r="B16" s="421">
        <f t="shared" si="0"/>
        <v>290763802429.82996</v>
      </c>
      <c r="C16" s="422">
        <f>IF((C6-C13)='28.财政专户收支表'!C5,C6-C13,0)</f>
        <v>225389758407.35999</v>
      </c>
      <c r="D16" s="423">
        <f>IF((D6-D13)='28.财政专户收支表'!D5,D6-D13,0)</f>
        <v>0</v>
      </c>
      <c r="E16" s="423">
        <f>IF((E6-E13)='28.财政专户收支表'!E5,E6-E13,0)</f>
        <v>40955149.07</v>
      </c>
      <c r="F16" s="423">
        <f>IF((F6-F13)='28.财政专户收支表'!F5,F6-F13,0)</f>
        <v>44437783651.440002</v>
      </c>
      <c r="G16" s="423">
        <f>IF((G6-G13)='28.财政专户收支表'!G5,G6-G13,0)</f>
        <v>1095436275.26</v>
      </c>
      <c r="H16" s="423">
        <f>IF((H6-H13)='28.财政专户收支表'!H5,H6-H13,0)</f>
        <v>0</v>
      </c>
      <c r="I16" s="423">
        <f>IF((I6-I13)='28.财政专户收支表'!I5,I6-I13,0)</f>
        <v>0</v>
      </c>
      <c r="J16" s="423">
        <f>IF((J6-J13)='28.财政专户收支表'!J5,J6-J13,0)</f>
        <v>4520611836.7200003</v>
      </c>
      <c r="K16" s="423">
        <f>IF((K6-K13)='28.财政专户收支表'!K5,K6-K13,0)</f>
        <v>11785984158.48</v>
      </c>
      <c r="L16" s="423">
        <f>IF((L6-L13)='28.财政专户收支表'!L5,L6-L13,0)</f>
        <v>2987509005.0700002</v>
      </c>
      <c r="M16" s="423">
        <f>IF((M6-M13)='28.财政专户收支表'!M5,M6-M13,0)</f>
        <v>505763946.43000001</v>
      </c>
      <c r="N16" s="423">
        <f>IF((N6-N13)='28.财政专户收支表'!N5,N6-N13,0)</f>
        <v>0</v>
      </c>
      <c r="O16" s="423">
        <f>IF((O6-O13)='28.财政专户收支表'!O5,O6-O13,0)</f>
        <v>0</v>
      </c>
      <c r="P16" s="423">
        <f>IF((P6-P13)='28.财政专户收支表'!P5,P6-P13,0)</f>
        <v>0</v>
      </c>
      <c r="Q16" s="424">
        <f>IF((Q6-Q13)='28.财政专户收支表'!Q5,Q6-Q13,0)</f>
        <v>0</v>
      </c>
    </row>
    <row r="17" spans="1:17" s="205" customFormat="1" ht="22.5" customHeight="1">
      <c r="A17" s="425" t="s">
        <v>1742</v>
      </c>
      <c r="B17" s="426" t="s">
        <v>1542</v>
      </c>
      <c r="C17" s="427" t="s">
        <v>1542</v>
      </c>
      <c r="D17" s="428" t="s">
        <v>1542</v>
      </c>
      <c r="E17" s="428" t="s">
        <v>1542</v>
      </c>
      <c r="F17" s="428" t="s">
        <v>1542</v>
      </c>
      <c r="G17" s="428" t="s">
        <v>1542</v>
      </c>
      <c r="H17" s="428" t="s">
        <v>1542</v>
      </c>
      <c r="I17" s="428" t="s">
        <v>1542</v>
      </c>
      <c r="J17" s="428" t="s">
        <v>1542</v>
      </c>
      <c r="K17" s="428" t="s">
        <v>1542</v>
      </c>
      <c r="L17" s="428" t="s">
        <v>1542</v>
      </c>
      <c r="M17" s="428" t="s">
        <v>1542</v>
      </c>
      <c r="N17" s="428" t="s">
        <v>1542</v>
      </c>
      <c r="O17" s="428" t="s">
        <v>1542</v>
      </c>
      <c r="P17" s="428" t="s">
        <v>1542</v>
      </c>
      <c r="Q17" s="429" t="s">
        <v>1542</v>
      </c>
    </row>
    <row r="18" spans="1:17" s="205" customFormat="1" ht="22.5" customHeight="1">
      <c r="A18" s="418" t="s">
        <v>1731</v>
      </c>
      <c r="B18" s="419">
        <f t="shared" ref="B18:B28" si="4">SUM(C18:Q18)</f>
        <v>359345578258.38</v>
      </c>
      <c r="C18" s="261">
        <f t="shared" ref="C18:Q18" si="5">C19+C21+C22+C24</f>
        <v>278994070600.76001</v>
      </c>
      <c r="D18" s="262">
        <f t="shared" si="5"/>
        <v>0</v>
      </c>
      <c r="E18" s="262">
        <f t="shared" si="5"/>
        <v>48897658.789999999</v>
      </c>
      <c r="F18" s="262">
        <f t="shared" si="5"/>
        <v>51836333068.470001</v>
      </c>
      <c r="G18" s="262">
        <f t="shared" si="5"/>
        <v>1208500420.6900001</v>
      </c>
      <c r="H18" s="262">
        <f t="shared" si="5"/>
        <v>0</v>
      </c>
      <c r="I18" s="262">
        <f t="shared" si="5"/>
        <v>0</v>
      </c>
      <c r="J18" s="262">
        <f t="shared" si="5"/>
        <v>5126454574.5600004</v>
      </c>
      <c r="K18" s="262">
        <f t="shared" si="5"/>
        <v>17058141262.860001</v>
      </c>
      <c r="L18" s="262">
        <f t="shared" si="5"/>
        <v>5048643777.0900002</v>
      </c>
      <c r="M18" s="262">
        <f t="shared" si="5"/>
        <v>24536895.160000086</v>
      </c>
      <c r="N18" s="262">
        <f t="shared" si="5"/>
        <v>0</v>
      </c>
      <c r="O18" s="262">
        <f t="shared" si="5"/>
        <v>0</v>
      </c>
      <c r="P18" s="262">
        <f t="shared" si="5"/>
        <v>0</v>
      </c>
      <c r="Q18" s="264">
        <f t="shared" si="5"/>
        <v>0</v>
      </c>
    </row>
    <row r="19" spans="1:17" s="205" customFormat="1" ht="22.5" customHeight="1">
      <c r="A19" s="418" t="s">
        <v>1732</v>
      </c>
      <c r="B19" s="419">
        <f t="shared" si="4"/>
        <v>319345578258.38</v>
      </c>
      <c r="C19" s="261">
        <v>238994070600.76001</v>
      </c>
      <c r="D19" s="262"/>
      <c r="E19" s="262">
        <v>48897658.789999999</v>
      </c>
      <c r="F19" s="262">
        <v>51836333068.470001</v>
      </c>
      <c r="G19" s="262">
        <v>1208500420.6900001</v>
      </c>
      <c r="H19" s="262"/>
      <c r="I19" s="262"/>
      <c r="J19" s="262">
        <v>5126454574.5600004</v>
      </c>
      <c r="K19" s="262">
        <v>17058141262.860001</v>
      </c>
      <c r="L19" s="262">
        <v>5048643777.0900002</v>
      </c>
      <c r="M19" s="262">
        <v>24536895.160000086</v>
      </c>
      <c r="N19" s="262"/>
      <c r="O19" s="262"/>
      <c r="P19" s="262"/>
      <c r="Q19" s="264"/>
    </row>
    <row r="20" spans="1:17" s="205" customFormat="1" ht="22.5" customHeight="1">
      <c r="A20" s="418" t="s">
        <v>1733</v>
      </c>
      <c r="B20" s="419">
        <f t="shared" si="4"/>
        <v>315609841090.73004</v>
      </c>
      <c r="C20" s="261">
        <v>237470612145.5</v>
      </c>
      <c r="D20" s="262"/>
      <c r="E20" s="262">
        <v>38213406.950000003</v>
      </c>
      <c r="F20" s="262">
        <v>50454145872.699997</v>
      </c>
      <c r="G20" s="262">
        <v>803730639.24000001</v>
      </c>
      <c r="H20" s="262"/>
      <c r="I20" s="262"/>
      <c r="J20" s="262">
        <v>4900753629.1800003</v>
      </c>
      <c r="K20" s="262">
        <v>16996321439.379999</v>
      </c>
      <c r="L20" s="262">
        <v>4946063957.7799997</v>
      </c>
      <c r="M20" s="262"/>
      <c r="N20" s="262"/>
      <c r="O20" s="262"/>
      <c r="P20" s="262"/>
      <c r="Q20" s="264"/>
    </row>
    <row r="21" spans="1:17" s="205" customFormat="1" ht="22.5" customHeight="1">
      <c r="A21" s="418" t="s">
        <v>1734</v>
      </c>
      <c r="B21" s="419">
        <f t="shared" si="4"/>
        <v>0</v>
      </c>
      <c r="C21" s="261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4"/>
    </row>
    <row r="22" spans="1:17" s="205" customFormat="1" ht="22.5" customHeight="1">
      <c r="A22" s="418" t="s">
        <v>1735</v>
      </c>
      <c r="B22" s="419">
        <f t="shared" si="4"/>
        <v>40000000000</v>
      </c>
      <c r="C22" s="261">
        <v>40000000000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4"/>
    </row>
    <row r="23" spans="1:17" s="205" customFormat="1" ht="22.5" customHeight="1">
      <c r="A23" s="418" t="s">
        <v>1736</v>
      </c>
      <c r="B23" s="419">
        <f t="shared" si="4"/>
        <v>40000000000</v>
      </c>
      <c r="C23" s="261">
        <v>40000000000</v>
      </c>
      <c r="D23" s="262"/>
      <c r="E23" s="262"/>
      <c r="F23" s="262" t="s">
        <v>1542</v>
      </c>
      <c r="G23" s="262" t="s">
        <v>1542</v>
      </c>
      <c r="H23" s="262" t="s">
        <v>1542</v>
      </c>
      <c r="I23" s="262" t="s">
        <v>1542</v>
      </c>
      <c r="J23" s="262" t="s">
        <v>1542</v>
      </c>
      <c r="K23" s="262" t="s">
        <v>1542</v>
      </c>
      <c r="L23" s="262" t="s">
        <v>1542</v>
      </c>
      <c r="M23" s="262" t="s">
        <v>1542</v>
      </c>
      <c r="N23" s="262" t="s">
        <v>1542</v>
      </c>
      <c r="O23" s="262" t="s">
        <v>1542</v>
      </c>
      <c r="P23" s="262" t="s">
        <v>1542</v>
      </c>
      <c r="Q23" s="264" t="s">
        <v>1542</v>
      </c>
    </row>
    <row r="24" spans="1:17" s="205" customFormat="1" ht="22.5" customHeight="1">
      <c r="A24" s="418" t="s">
        <v>1737</v>
      </c>
      <c r="B24" s="419">
        <f t="shared" si="4"/>
        <v>0</v>
      </c>
      <c r="C24" s="261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4"/>
    </row>
    <row r="25" spans="1:17" s="205" customFormat="1" ht="22.5" customHeight="1">
      <c r="A25" s="418" t="s">
        <v>1738</v>
      </c>
      <c r="B25" s="419">
        <f t="shared" si="4"/>
        <v>1361026148.5900002</v>
      </c>
      <c r="C25" s="261">
        <f t="shared" ref="C25:J25" si="6">SUM(C26:C27)</f>
        <v>1325314676.1300001</v>
      </c>
      <c r="D25" s="262">
        <f>SUM(D26:D27)</f>
        <v>0</v>
      </c>
      <c r="E25" s="262">
        <f t="shared" si="6"/>
        <v>10725601.99</v>
      </c>
      <c r="F25" s="262">
        <f t="shared" si="6"/>
        <v>0</v>
      </c>
      <c r="G25" s="262">
        <f>SUM(G26:G27)</f>
        <v>24985870.469999999</v>
      </c>
      <c r="H25" s="262">
        <f t="shared" si="6"/>
        <v>0</v>
      </c>
      <c r="I25" s="262">
        <f t="shared" si="6"/>
        <v>0</v>
      </c>
      <c r="J25" s="262">
        <f t="shared" si="6"/>
        <v>0</v>
      </c>
      <c r="K25" s="262">
        <f t="shared" ref="K25:Q25" si="7">SUM(K26:K27)</f>
        <v>0</v>
      </c>
      <c r="L25" s="262">
        <f t="shared" si="7"/>
        <v>0</v>
      </c>
      <c r="M25" s="262">
        <f t="shared" si="7"/>
        <v>0</v>
      </c>
      <c r="N25" s="262">
        <f t="shared" si="7"/>
        <v>0</v>
      </c>
      <c r="O25" s="262">
        <f t="shared" si="7"/>
        <v>0</v>
      </c>
      <c r="P25" s="262">
        <f t="shared" si="7"/>
        <v>0</v>
      </c>
      <c r="Q25" s="264">
        <f t="shared" si="7"/>
        <v>0</v>
      </c>
    </row>
    <row r="26" spans="1:17" s="205" customFormat="1" ht="22.5" customHeight="1">
      <c r="A26" s="418" t="s">
        <v>1739</v>
      </c>
      <c r="B26" s="419">
        <f t="shared" si="4"/>
        <v>0</v>
      </c>
      <c r="C26" s="261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4"/>
    </row>
    <row r="27" spans="1:17" s="205" customFormat="1" ht="22.5" customHeight="1">
      <c r="A27" s="418" t="s">
        <v>1740</v>
      </c>
      <c r="B27" s="419">
        <f t="shared" si="4"/>
        <v>1361026148.5900002</v>
      </c>
      <c r="C27" s="261">
        <v>1325314676.1300001</v>
      </c>
      <c r="D27" s="262"/>
      <c r="E27" s="263">
        <v>10725601.99</v>
      </c>
      <c r="F27" s="262"/>
      <c r="G27" s="263">
        <v>24985870.469999999</v>
      </c>
      <c r="H27" s="262"/>
      <c r="I27" s="262"/>
      <c r="J27" s="262"/>
      <c r="K27" s="262"/>
      <c r="L27" s="262"/>
      <c r="M27" s="262"/>
      <c r="N27" s="262"/>
      <c r="O27" s="262"/>
      <c r="P27" s="262"/>
      <c r="Q27" s="264"/>
    </row>
    <row r="28" spans="1:17" s="205" customFormat="1" ht="22.5" customHeight="1" thickBot="1">
      <c r="A28" s="420" t="s">
        <v>1741</v>
      </c>
      <c r="B28" s="421">
        <f t="shared" si="4"/>
        <v>357984552109.78998</v>
      </c>
      <c r="C28" s="422">
        <f>IF((C18-C25)='28.财政专户收支表'!C14,C18-C25,0)</f>
        <v>277668755924.63</v>
      </c>
      <c r="D28" s="423">
        <f>IF((D18-D25)='28.财政专户收支表'!D14,D18-D25,0)</f>
        <v>0</v>
      </c>
      <c r="E28" s="423">
        <f>IF((E18-E25)='28.财政专户收支表'!E14,E18-E25,0)</f>
        <v>38172056.799999997</v>
      </c>
      <c r="F28" s="423">
        <f>IF((F18-F25)='28.财政专户收支表'!F14,F18-F25,0)</f>
        <v>51836333068.470001</v>
      </c>
      <c r="G28" s="423">
        <f>IF((G18-G25)='28.财政专户收支表'!G14,G18-G25,0)</f>
        <v>1183514550.22</v>
      </c>
      <c r="H28" s="423">
        <f>IF((H18-H25)='28.财政专户收支表'!H14,H18-H25,0)</f>
        <v>0</v>
      </c>
      <c r="I28" s="423">
        <f>IF((I18-I25)='28.财政专户收支表'!I14,I18-I25,0)</f>
        <v>0</v>
      </c>
      <c r="J28" s="423">
        <f>IF((J18-J25)='28.财政专户收支表'!J14,J18-J25,0)</f>
        <v>5126454574.5600004</v>
      </c>
      <c r="K28" s="423">
        <f>IF((K18-K25)='28.财政专户收支表'!K14,K18-K25,0)</f>
        <v>17058141262.860001</v>
      </c>
      <c r="L28" s="423">
        <f>IF((L18-L25)='28.财政专户收支表'!L14,L18-L25,0)</f>
        <v>5048643777.0900002</v>
      </c>
      <c r="M28" s="423">
        <f>IF((M18-M25)='28.财政专户收支表'!M14,M18-M25,0)</f>
        <v>24536895.160000086</v>
      </c>
      <c r="N28" s="423">
        <f>IF((N18-N25)='28.财政专户收支表'!N14,N18-N25,0)</f>
        <v>0</v>
      </c>
      <c r="O28" s="423">
        <f>IF((O18-O25)='28.财政专户收支表'!O14,O18-O25,0)</f>
        <v>0</v>
      </c>
      <c r="P28" s="423">
        <f>IF((P18-P25)='28.财政专户收支表'!P14,P18-P25,0)</f>
        <v>0</v>
      </c>
      <c r="Q28" s="424">
        <f>IF((Q18-Q25)='28.财政专户收支表'!Q14,Q18-Q25,0)</f>
        <v>0</v>
      </c>
    </row>
    <row r="29" spans="1:17" s="205" customFormat="1" ht="14.25" customHeight="1"/>
    <row r="30" spans="1:17" s="205" customFormat="1" ht="14.25" customHeight="1"/>
    <row r="31" spans="1:17" s="205" customFormat="1" ht="14.25" customHeight="1"/>
    <row r="32" spans="1:17" s="205" customFormat="1" ht="14.25" customHeight="1"/>
    <row r="33" s="205" customFormat="1" ht="14.25" customHeight="1"/>
    <row r="34" s="205" customFormat="1" ht="14.25" customHeight="1"/>
    <row r="35" s="205" customFormat="1" ht="14.25" customHeight="1"/>
    <row r="36" s="205" customFormat="1" ht="14.25" customHeight="1"/>
    <row r="37" s="205" customFormat="1" ht="14.25" customHeight="1"/>
    <row r="38" s="205" customFormat="1" ht="14.25" customHeight="1"/>
    <row r="39" s="205" customFormat="1" ht="14.25" customHeight="1"/>
  </sheetData>
  <mergeCells count="1">
    <mergeCell ref="A1:Q1"/>
  </mergeCells>
  <phoneticPr fontId="23" type="noConversion"/>
  <printOptions horizontalCentered="1" verticalCentered="1"/>
  <pageMargins left="0.31496062992125984" right="0.11811023622047245" top="0.78740157480314965" bottom="0.59055118110236227" header="0.51181102362204722" footer="0.39370078740157483"/>
  <pageSetup paperSize="9" scale="72" orientation="landscape" errors="blank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pane xSplit="1" ySplit="4" topLeftCell="B5" activePane="bottomRight" state="frozen"/>
      <selection activeCell="A3" sqref="A3:M3"/>
      <selection pane="topRight" activeCell="A3" sqref="A3:M3"/>
      <selection pane="bottomLeft" activeCell="A3" sqref="A3:M3"/>
      <selection pane="bottomRight" activeCell="A3" sqref="A1:Q14"/>
    </sheetView>
  </sheetViews>
  <sheetFormatPr defaultRowHeight="14.25" customHeight="1"/>
  <cols>
    <col min="1" max="1" width="17" style="193" customWidth="1"/>
    <col min="2" max="2" width="12.5" style="193" customWidth="1"/>
    <col min="3" max="3" width="12.5" style="193" bestFit="1" customWidth="1"/>
    <col min="4" max="4" width="11.625" style="193" bestFit="1" customWidth="1"/>
    <col min="5" max="5" width="9.25" style="193" bestFit="1" customWidth="1"/>
    <col min="6" max="6" width="11.875" style="193" bestFit="1" customWidth="1"/>
    <col min="7" max="7" width="11.125" style="193" bestFit="1" customWidth="1"/>
    <col min="8" max="9" width="6" style="193" bestFit="1" customWidth="1"/>
    <col min="10" max="10" width="11.125" style="193" bestFit="1" customWidth="1"/>
    <col min="11" max="11" width="11.875" style="193" bestFit="1" customWidth="1"/>
    <col min="12" max="13" width="11.125" style="193" bestFit="1" customWidth="1"/>
    <col min="14" max="14" width="9.25" style="193" bestFit="1" customWidth="1"/>
    <col min="15" max="15" width="6" style="193" customWidth="1"/>
    <col min="16" max="16" width="9.25" style="193" customWidth="1"/>
    <col min="17" max="17" width="4" style="193" customWidth="1"/>
    <col min="18" max="256" width="9" style="193"/>
    <col min="257" max="257" width="17" style="193" customWidth="1"/>
    <col min="258" max="258" width="12.5" style="193" customWidth="1"/>
    <col min="259" max="259" width="12.5" style="193" bestFit="1" customWidth="1"/>
    <col min="260" max="260" width="11.625" style="193" bestFit="1" customWidth="1"/>
    <col min="261" max="261" width="9.25" style="193" bestFit="1" customWidth="1"/>
    <col min="262" max="262" width="11.875" style="193" bestFit="1" customWidth="1"/>
    <col min="263" max="263" width="11.125" style="193" bestFit="1" customWidth="1"/>
    <col min="264" max="265" width="6" style="193" bestFit="1" customWidth="1"/>
    <col min="266" max="266" width="11.125" style="193" bestFit="1" customWidth="1"/>
    <col min="267" max="267" width="11.875" style="193" bestFit="1" customWidth="1"/>
    <col min="268" max="269" width="11.125" style="193" bestFit="1" customWidth="1"/>
    <col min="270" max="270" width="9.25" style="193" bestFit="1" customWidth="1"/>
    <col min="271" max="271" width="6" style="193" customWidth="1"/>
    <col min="272" max="272" width="9.25" style="193" customWidth="1"/>
    <col min="273" max="273" width="4" style="193" customWidth="1"/>
    <col min="274" max="512" width="9" style="193"/>
    <col min="513" max="513" width="17" style="193" customWidth="1"/>
    <col min="514" max="514" width="12.5" style="193" customWidth="1"/>
    <col min="515" max="515" width="12.5" style="193" bestFit="1" customWidth="1"/>
    <col min="516" max="516" width="11.625" style="193" bestFit="1" customWidth="1"/>
    <col min="517" max="517" width="9.25" style="193" bestFit="1" customWidth="1"/>
    <col min="518" max="518" width="11.875" style="193" bestFit="1" customWidth="1"/>
    <col min="519" max="519" width="11.125" style="193" bestFit="1" customWidth="1"/>
    <col min="520" max="521" width="6" style="193" bestFit="1" customWidth="1"/>
    <col min="522" max="522" width="11.125" style="193" bestFit="1" customWidth="1"/>
    <col min="523" max="523" width="11.875" style="193" bestFit="1" customWidth="1"/>
    <col min="524" max="525" width="11.125" style="193" bestFit="1" customWidth="1"/>
    <col min="526" max="526" width="9.25" style="193" bestFit="1" customWidth="1"/>
    <col min="527" max="527" width="6" style="193" customWidth="1"/>
    <col min="528" max="528" width="9.25" style="193" customWidth="1"/>
    <col min="529" max="529" width="4" style="193" customWidth="1"/>
    <col min="530" max="768" width="9" style="193"/>
    <col min="769" max="769" width="17" style="193" customWidth="1"/>
    <col min="770" max="770" width="12.5" style="193" customWidth="1"/>
    <col min="771" max="771" width="12.5" style="193" bestFit="1" customWidth="1"/>
    <col min="772" max="772" width="11.625" style="193" bestFit="1" customWidth="1"/>
    <col min="773" max="773" width="9.25" style="193" bestFit="1" customWidth="1"/>
    <col min="774" max="774" width="11.875" style="193" bestFit="1" customWidth="1"/>
    <col min="775" max="775" width="11.125" style="193" bestFit="1" customWidth="1"/>
    <col min="776" max="777" width="6" style="193" bestFit="1" customWidth="1"/>
    <col min="778" max="778" width="11.125" style="193" bestFit="1" customWidth="1"/>
    <col min="779" max="779" width="11.875" style="193" bestFit="1" customWidth="1"/>
    <col min="780" max="781" width="11.125" style="193" bestFit="1" customWidth="1"/>
    <col min="782" max="782" width="9.25" style="193" bestFit="1" customWidth="1"/>
    <col min="783" max="783" width="6" style="193" customWidth="1"/>
    <col min="784" max="784" width="9.25" style="193" customWidth="1"/>
    <col min="785" max="785" width="4" style="193" customWidth="1"/>
    <col min="786" max="1024" width="9" style="193"/>
    <col min="1025" max="1025" width="17" style="193" customWidth="1"/>
    <col min="1026" max="1026" width="12.5" style="193" customWidth="1"/>
    <col min="1027" max="1027" width="12.5" style="193" bestFit="1" customWidth="1"/>
    <col min="1028" max="1028" width="11.625" style="193" bestFit="1" customWidth="1"/>
    <col min="1029" max="1029" width="9.25" style="193" bestFit="1" customWidth="1"/>
    <col min="1030" max="1030" width="11.875" style="193" bestFit="1" customWidth="1"/>
    <col min="1031" max="1031" width="11.125" style="193" bestFit="1" customWidth="1"/>
    <col min="1032" max="1033" width="6" style="193" bestFit="1" customWidth="1"/>
    <col min="1034" max="1034" width="11.125" style="193" bestFit="1" customWidth="1"/>
    <col min="1035" max="1035" width="11.875" style="193" bestFit="1" customWidth="1"/>
    <col min="1036" max="1037" width="11.125" style="193" bestFit="1" customWidth="1"/>
    <col min="1038" max="1038" width="9.25" style="193" bestFit="1" customWidth="1"/>
    <col min="1039" max="1039" width="6" style="193" customWidth="1"/>
    <col min="1040" max="1040" width="9.25" style="193" customWidth="1"/>
    <col min="1041" max="1041" width="4" style="193" customWidth="1"/>
    <col min="1042" max="1280" width="9" style="193"/>
    <col min="1281" max="1281" width="17" style="193" customWidth="1"/>
    <col min="1282" max="1282" width="12.5" style="193" customWidth="1"/>
    <col min="1283" max="1283" width="12.5" style="193" bestFit="1" customWidth="1"/>
    <col min="1284" max="1284" width="11.625" style="193" bestFit="1" customWidth="1"/>
    <col min="1285" max="1285" width="9.25" style="193" bestFit="1" customWidth="1"/>
    <col min="1286" max="1286" width="11.875" style="193" bestFit="1" customWidth="1"/>
    <col min="1287" max="1287" width="11.125" style="193" bestFit="1" customWidth="1"/>
    <col min="1288" max="1289" width="6" style="193" bestFit="1" customWidth="1"/>
    <col min="1290" max="1290" width="11.125" style="193" bestFit="1" customWidth="1"/>
    <col min="1291" max="1291" width="11.875" style="193" bestFit="1" customWidth="1"/>
    <col min="1292" max="1293" width="11.125" style="193" bestFit="1" customWidth="1"/>
    <col min="1294" max="1294" width="9.25" style="193" bestFit="1" customWidth="1"/>
    <col min="1295" max="1295" width="6" style="193" customWidth="1"/>
    <col min="1296" max="1296" width="9.25" style="193" customWidth="1"/>
    <col min="1297" max="1297" width="4" style="193" customWidth="1"/>
    <col min="1298" max="1536" width="9" style="193"/>
    <col min="1537" max="1537" width="17" style="193" customWidth="1"/>
    <col min="1538" max="1538" width="12.5" style="193" customWidth="1"/>
    <col min="1539" max="1539" width="12.5" style="193" bestFit="1" customWidth="1"/>
    <col min="1540" max="1540" width="11.625" style="193" bestFit="1" customWidth="1"/>
    <col min="1541" max="1541" width="9.25" style="193" bestFit="1" customWidth="1"/>
    <col min="1542" max="1542" width="11.875" style="193" bestFit="1" customWidth="1"/>
    <col min="1543" max="1543" width="11.125" style="193" bestFit="1" customWidth="1"/>
    <col min="1544" max="1545" width="6" style="193" bestFit="1" customWidth="1"/>
    <col min="1546" max="1546" width="11.125" style="193" bestFit="1" customWidth="1"/>
    <col min="1547" max="1547" width="11.875" style="193" bestFit="1" customWidth="1"/>
    <col min="1548" max="1549" width="11.125" style="193" bestFit="1" customWidth="1"/>
    <col min="1550" max="1550" width="9.25" style="193" bestFit="1" customWidth="1"/>
    <col min="1551" max="1551" width="6" style="193" customWidth="1"/>
    <col min="1552" max="1552" width="9.25" style="193" customWidth="1"/>
    <col min="1553" max="1553" width="4" style="193" customWidth="1"/>
    <col min="1554" max="1792" width="9" style="193"/>
    <col min="1793" max="1793" width="17" style="193" customWidth="1"/>
    <col min="1794" max="1794" width="12.5" style="193" customWidth="1"/>
    <col min="1795" max="1795" width="12.5" style="193" bestFit="1" customWidth="1"/>
    <col min="1796" max="1796" width="11.625" style="193" bestFit="1" customWidth="1"/>
    <col min="1797" max="1797" width="9.25" style="193" bestFit="1" customWidth="1"/>
    <col min="1798" max="1798" width="11.875" style="193" bestFit="1" customWidth="1"/>
    <col min="1799" max="1799" width="11.125" style="193" bestFit="1" customWidth="1"/>
    <col min="1800" max="1801" width="6" style="193" bestFit="1" customWidth="1"/>
    <col min="1802" max="1802" width="11.125" style="193" bestFit="1" customWidth="1"/>
    <col min="1803" max="1803" width="11.875" style="193" bestFit="1" customWidth="1"/>
    <col min="1804" max="1805" width="11.125" style="193" bestFit="1" customWidth="1"/>
    <col min="1806" max="1806" width="9.25" style="193" bestFit="1" customWidth="1"/>
    <col min="1807" max="1807" width="6" style="193" customWidth="1"/>
    <col min="1808" max="1808" width="9.25" style="193" customWidth="1"/>
    <col min="1809" max="1809" width="4" style="193" customWidth="1"/>
    <col min="1810" max="2048" width="9" style="193"/>
    <col min="2049" max="2049" width="17" style="193" customWidth="1"/>
    <col min="2050" max="2050" width="12.5" style="193" customWidth="1"/>
    <col min="2051" max="2051" width="12.5" style="193" bestFit="1" customWidth="1"/>
    <col min="2052" max="2052" width="11.625" style="193" bestFit="1" customWidth="1"/>
    <col min="2053" max="2053" width="9.25" style="193" bestFit="1" customWidth="1"/>
    <col min="2054" max="2054" width="11.875" style="193" bestFit="1" customWidth="1"/>
    <col min="2055" max="2055" width="11.125" style="193" bestFit="1" customWidth="1"/>
    <col min="2056" max="2057" width="6" style="193" bestFit="1" customWidth="1"/>
    <col min="2058" max="2058" width="11.125" style="193" bestFit="1" customWidth="1"/>
    <col min="2059" max="2059" width="11.875" style="193" bestFit="1" customWidth="1"/>
    <col min="2060" max="2061" width="11.125" style="193" bestFit="1" customWidth="1"/>
    <col min="2062" max="2062" width="9.25" style="193" bestFit="1" customWidth="1"/>
    <col min="2063" max="2063" width="6" style="193" customWidth="1"/>
    <col min="2064" max="2064" width="9.25" style="193" customWidth="1"/>
    <col min="2065" max="2065" width="4" style="193" customWidth="1"/>
    <col min="2066" max="2304" width="9" style="193"/>
    <col min="2305" max="2305" width="17" style="193" customWidth="1"/>
    <col min="2306" max="2306" width="12.5" style="193" customWidth="1"/>
    <col min="2307" max="2307" width="12.5" style="193" bestFit="1" customWidth="1"/>
    <col min="2308" max="2308" width="11.625" style="193" bestFit="1" customWidth="1"/>
    <col min="2309" max="2309" width="9.25" style="193" bestFit="1" customWidth="1"/>
    <col min="2310" max="2310" width="11.875" style="193" bestFit="1" customWidth="1"/>
    <col min="2311" max="2311" width="11.125" style="193" bestFit="1" customWidth="1"/>
    <col min="2312" max="2313" width="6" style="193" bestFit="1" customWidth="1"/>
    <col min="2314" max="2314" width="11.125" style="193" bestFit="1" customWidth="1"/>
    <col min="2315" max="2315" width="11.875" style="193" bestFit="1" customWidth="1"/>
    <col min="2316" max="2317" width="11.125" style="193" bestFit="1" customWidth="1"/>
    <col min="2318" max="2318" width="9.25" style="193" bestFit="1" customWidth="1"/>
    <col min="2319" max="2319" width="6" style="193" customWidth="1"/>
    <col min="2320" max="2320" width="9.25" style="193" customWidth="1"/>
    <col min="2321" max="2321" width="4" style="193" customWidth="1"/>
    <col min="2322" max="2560" width="9" style="193"/>
    <col min="2561" max="2561" width="17" style="193" customWidth="1"/>
    <col min="2562" max="2562" width="12.5" style="193" customWidth="1"/>
    <col min="2563" max="2563" width="12.5" style="193" bestFit="1" customWidth="1"/>
    <col min="2564" max="2564" width="11.625" style="193" bestFit="1" customWidth="1"/>
    <col min="2565" max="2565" width="9.25" style="193" bestFit="1" customWidth="1"/>
    <col min="2566" max="2566" width="11.875" style="193" bestFit="1" customWidth="1"/>
    <col min="2567" max="2567" width="11.125" style="193" bestFit="1" customWidth="1"/>
    <col min="2568" max="2569" width="6" style="193" bestFit="1" customWidth="1"/>
    <col min="2570" max="2570" width="11.125" style="193" bestFit="1" customWidth="1"/>
    <col min="2571" max="2571" width="11.875" style="193" bestFit="1" customWidth="1"/>
    <col min="2572" max="2573" width="11.125" style="193" bestFit="1" customWidth="1"/>
    <col min="2574" max="2574" width="9.25" style="193" bestFit="1" customWidth="1"/>
    <col min="2575" max="2575" width="6" style="193" customWidth="1"/>
    <col min="2576" max="2576" width="9.25" style="193" customWidth="1"/>
    <col min="2577" max="2577" width="4" style="193" customWidth="1"/>
    <col min="2578" max="2816" width="9" style="193"/>
    <col min="2817" max="2817" width="17" style="193" customWidth="1"/>
    <col min="2818" max="2818" width="12.5" style="193" customWidth="1"/>
    <col min="2819" max="2819" width="12.5" style="193" bestFit="1" customWidth="1"/>
    <col min="2820" max="2820" width="11.625" style="193" bestFit="1" customWidth="1"/>
    <col min="2821" max="2821" width="9.25" style="193" bestFit="1" customWidth="1"/>
    <col min="2822" max="2822" width="11.875" style="193" bestFit="1" customWidth="1"/>
    <col min="2823" max="2823" width="11.125" style="193" bestFit="1" customWidth="1"/>
    <col min="2824" max="2825" width="6" style="193" bestFit="1" customWidth="1"/>
    <col min="2826" max="2826" width="11.125" style="193" bestFit="1" customWidth="1"/>
    <col min="2827" max="2827" width="11.875" style="193" bestFit="1" customWidth="1"/>
    <col min="2828" max="2829" width="11.125" style="193" bestFit="1" customWidth="1"/>
    <col min="2830" max="2830" width="9.25" style="193" bestFit="1" customWidth="1"/>
    <col min="2831" max="2831" width="6" style="193" customWidth="1"/>
    <col min="2832" max="2832" width="9.25" style="193" customWidth="1"/>
    <col min="2833" max="2833" width="4" style="193" customWidth="1"/>
    <col min="2834" max="3072" width="9" style="193"/>
    <col min="3073" max="3073" width="17" style="193" customWidth="1"/>
    <col min="3074" max="3074" width="12.5" style="193" customWidth="1"/>
    <col min="3075" max="3075" width="12.5" style="193" bestFit="1" customWidth="1"/>
    <col min="3076" max="3076" width="11.625" style="193" bestFit="1" customWidth="1"/>
    <col min="3077" max="3077" width="9.25" style="193" bestFit="1" customWidth="1"/>
    <col min="3078" max="3078" width="11.875" style="193" bestFit="1" customWidth="1"/>
    <col min="3079" max="3079" width="11.125" style="193" bestFit="1" customWidth="1"/>
    <col min="3080" max="3081" width="6" style="193" bestFit="1" customWidth="1"/>
    <col min="3082" max="3082" width="11.125" style="193" bestFit="1" customWidth="1"/>
    <col min="3083" max="3083" width="11.875" style="193" bestFit="1" customWidth="1"/>
    <col min="3084" max="3085" width="11.125" style="193" bestFit="1" customWidth="1"/>
    <col min="3086" max="3086" width="9.25" style="193" bestFit="1" customWidth="1"/>
    <col min="3087" max="3087" width="6" style="193" customWidth="1"/>
    <col min="3088" max="3088" width="9.25" style="193" customWidth="1"/>
    <col min="3089" max="3089" width="4" style="193" customWidth="1"/>
    <col min="3090" max="3328" width="9" style="193"/>
    <col min="3329" max="3329" width="17" style="193" customWidth="1"/>
    <col min="3330" max="3330" width="12.5" style="193" customWidth="1"/>
    <col min="3331" max="3331" width="12.5" style="193" bestFit="1" customWidth="1"/>
    <col min="3332" max="3332" width="11.625" style="193" bestFit="1" customWidth="1"/>
    <col min="3333" max="3333" width="9.25" style="193" bestFit="1" customWidth="1"/>
    <col min="3334" max="3334" width="11.875" style="193" bestFit="1" customWidth="1"/>
    <col min="3335" max="3335" width="11.125" style="193" bestFit="1" customWidth="1"/>
    <col min="3336" max="3337" width="6" style="193" bestFit="1" customWidth="1"/>
    <col min="3338" max="3338" width="11.125" style="193" bestFit="1" customWidth="1"/>
    <col min="3339" max="3339" width="11.875" style="193" bestFit="1" customWidth="1"/>
    <col min="3340" max="3341" width="11.125" style="193" bestFit="1" customWidth="1"/>
    <col min="3342" max="3342" width="9.25" style="193" bestFit="1" customWidth="1"/>
    <col min="3343" max="3343" width="6" style="193" customWidth="1"/>
    <col min="3344" max="3344" width="9.25" style="193" customWidth="1"/>
    <col min="3345" max="3345" width="4" style="193" customWidth="1"/>
    <col min="3346" max="3584" width="9" style="193"/>
    <col min="3585" max="3585" width="17" style="193" customWidth="1"/>
    <col min="3586" max="3586" width="12.5" style="193" customWidth="1"/>
    <col min="3587" max="3587" width="12.5" style="193" bestFit="1" customWidth="1"/>
    <col min="3588" max="3588" width="11.625" style="193" bestFit="1" customWidth="1"/>
    <col min="3589" max="3589" width="9.25" style="193" bestFit="1" customWidth="1"/>
    <col min="3590" max="3590" width="11.875" style="193" bestFit="1" customWidth="1"/>
    <col min="3591" max="3591" width="11.125" style="193" bestFit="1" customWidth="1"/>
    <col min="3592" max="3593" width="6" style="193" bestFit="1" customWidth="1"/>
    <col min="3594" max="3594" width="11.125" style="193" bestFit="1" customWidth="1"/>
    <col min="3595" max="3595" width="11.875" style="193" bestFit="1" customWidth="1"/>
    <col min="3596" max="3597" width="11.125" style="193" bestFit="1" customWidth="1"/>
    <col min="3598" max="3598" width="9.25" style="193" bestFit="1" customWidth="1"/>
    <col min="3599" max="3599" width="6" style="193" customWidth="1"/>
    <col min="3600" max="3600" width="9.25" style="193" customWidth="1"/>
    <col min="3601" max="3601" width="4" style="193" customWidth="1"/>
    <col min="3602" max="3840" width="9" style="193"/>
    <col min="3841" max="3841" width="17" style="193" customWidth="1"/>
    <col min="3842" max="3842" width="12.5" style="193" customWidth="1"/>
    <col min="3843" max="3843" width="12.5" style="193" bestFit="1" customWidth="1"/>
    <col min="3844" max="3844" width="11.625" style="193" bestFit="1" customWidth="1"/>
    <col min="3845" max="3845" width="9.25" style="193" bestFit="1" customWidth="1"/>
    <col min="3846" max="3846" width="11.875" style="193" bestFit="1" customWidth="1"/>
    <col min="3847" max="3847" width="11.125" style="193" bestFit="1" customWidth="1"/>
    <col min="3848" max="3849" width="6" style="193" bestFit="1" customWidth="1"/>
    <col min="3850" max="3850" width="11.125" style="193" bestFit="1" customWidth="1"/>
    <col min="3851" max="3851" width="11.875" style="193" bestFit="1" customWidth="1"/>
    <col min="3852" max="3853" width="11.125" style="193" bestFit="1" customWidth="1"/>
    <col min="3854" max="3854" width="9.25" style="193" bestFit="1" customWidth="1"/>
    <col min="3855" max="3855" width="6" style="193" customWidth="1"/>
    <col min="3856" max="3856" width="9.25" style="193" customWidth="1"/>
    <col min="3857" max="3857" width="4" style="193" customWidth="1"/>
    <col min="3858" max="4096" width="9" style="193"/>
    <col min="4097" max="4097" width="17" style="193" customWidth="1"/>
    <col min="4098" max="4098" width="12.5" style="193" customWidth="1"/>
    <col min="4099" max="4099" width="12.5" style="193" bestFit="1" customWidth="1"/>
    <col min="4100" max="4100" width="11.625" style="193" bestFit="1" customWidth="1"/>
    <col min="4101" max="4101" width="9.25" style="193" bestFit="1" customWidth="1"/>
    <col min="4102" max="4102" width="11.875" style="193" bestFit="1" customWidth="1"/>
    <col min="4103" max="4103" width="11.125" style="193" bestFit="1" customWidth="1"/>
    <col min="4104" max="4105" width="6" style="193" bestFit="1" customWidth="1"/>
    <col min="4106" max="4106" width="11.125" style="193" bestFit="1" customWidth="1"/>
    <col min="4107" max="4107" width="11.875" style="193" bestFit="1" customWidth="1"/>
    <col min="4108" max="4109" width="11.125" style="193" bestFit="1" customWidth="1"/>
    <col min="4110" max="4110" width="9.25" style="193" bestFit="1" customWidth="1"/>
    <col min="4111" max="4111" width="6" style="193" customWidth="1"/>
    <col min="4112" max="4112" width="9.25" style="193" customWidth="1"/>
    <col min="4113" max="4113" width="4" style="193" customWidth="1"/>
    <col min="4114" max="4352" width="9" style="193"/>
    <col min="4353" max="4353" width="17" style="193" customWidth="1"/>
    <col min="4354" max="4354" width="12.5" style="193" customWidth="1"/>
    <col min="4355" max="4355" width="12.5" style="193" bestFit="1" customWidth="1"/>
    <col min="4356" max="4356" width="11.625" style="193" bestFit="1" customWidth="1"/>
    <col min="4357" max="4357" width="9.25" style="193" bestFit="1" customWidth="1"/>
    <col min="4358" max="4358" width="11.875" style="193" bestFit="1" customWidth="1"/>
    <col min="4359" max="4359" width="11.125" style="193" bestFit="1" customWidth="1"/>
    <col min="4360" max="4361" width="6" style="193" bestFit="1" customWidth="1"/>
    <col min="4362" max="4362" width="11.125" style="193" bestFit="1" customWidth="1"/>
    <col min="4363" max="4363" width="11.875" style="193" bestFit="1" customWidth="1"/>
    <col min="4364" max="4365" width="11.125" style="193" bestFit="1" customWidth="1"/>
    <col min="4366" max="4366" width="9.25" style="193" bestFit="1" customWidth="1"/>
    <col min="4367" max="4367" width="6" style="193" customWidth="1"/>
    <col min="4368" max="4368" width="9.25" style="193" customWidth="1"/>
    <col min="4369" max="4369" width="4" style="193" customWidth="1"/>
    <col min="4370" max="4608" width="9" style="193"/>
    <col min="4609" max="4609" width="17" style="193" customWidth="1"/>
    <col min="4610" max="4610" width="12.5" style="193" customWidth="1"/>
    <col min="4611" max="4611" width="12.5" style="193" bestFit="1" customWidth="1"/>
    <col min="4612" max="4612" width="11.625" style="193" bestFit="1" customWidth="1"/>
    <col min="4613" max="4613" width="9.25" style="193" bestFit="1" customWidth="1"/>
    <col min="4614" max="4614" width="11.875" style="193" bestFit="1" customWidth="1"/>
    <col min="4615" max="4615" width="11.125" style="193" bestFit="1" customWidth="1"/>
    <col min="4616" max="4617" width="6" style="193" bestFit="1" customWidth="1"/>
    <col min="4618" max="4618" width="11.125" style="193" bestFit="1" customWidth="1"/>
    <col min="4619" max="4619" width="11.875" style="193" bestFit="1" customWidth="1"/>
    <col min="4620" max="4621" width="11.125" style="193" bestFit="1" customWidth="1"/>
    <col min="4622" max="4622" width="9.25" style="193" bestFit="1" customWidth="1"/>
    <col min="4623" max="4623" width="6" style="193" customWidth="1"/>
    <col min="4624" max="4624" width="9.25" style="193" customWidth="1"/>
    <col min="4625" max="4625" width="4" style="193" customWidth="1"/>
    <col min="4626" max="4864" width="9" style="193"/>
    <col min="4865" max="4865" width="17" style="193" customWidth="1"/>
    <col min="4866" max="4866" width="12.5" style="193" customWidth="1"/>
    <col min="4867" max="4867" width="12.5" style="193" bestFit="1" customWidth="1"/>
    <col min="4868" max="4868" width="11.625" style="193" bestFit="1" customWidth="1"/>
    <col min="4869" max="4869" width="9.25" style="193" bestFit="1" customWidth="1"/>
    <col min="4870" max="4870" width="11.875" style="193" bestFit="1" customWidth="1"/>
    <col min="4871" max="4871" width="11.125" style="193" bestFit="1" customWidth="1"/>
    <col min="4872" max="4873" width="6" style="193" bestFit="1" customWidth="1"/>
    <col min="4874" max="4874" width="11.125" style="193" bestFit="1" customWidth="1"/>
    <col min="4875" max="4875" width="11.875" style="193" bestFit="1" customWidth="1"/>
    <col min="4876" max="4877" width="11.125" style="193" bestFit="1" customWidth="1"/>
    <col min="4878" max="4878" width="9.25" style="193" bestFit="1" customWidth="1"/>
    <col min="4879" max="4879" width="6" style="193" customWidth="1"/>
    <col min="4880" max="4880" width="9.25" style="193" customWidth="1"/>
    <col min="4881" max="4881" width="4" style="193" customWidth="1"/>
    <col min="4882" max="5120" width="9" style="193"/>
    <col min="5121" max="5121" width="17" style="193" customWidth="1"/>
    <col min="5122" max="5122" width="12.5" style="193" customWidth="1"/>
    <col min="5123" max="5123" width="12.5" style="193" bestFit="1" customWidth="1"/>
    <col min="5124" max="5124" width="11.625" style="193" bestFit="1" customWidth="1"/>
    <col min="5125" max="5125" width="9.25" style="193" bestFit="1" customWidth="1"/>
    <col min="5126" max="5126" width="11.875" style="193" bestFit="1" customWidth="1"/>
    <col min="5127" max="5127" width="11.125" style="193" bestFit="1" customWidth="1"/>
    <col min="5128" max="5129" width="6" style="193" bestFit="1" customWidth="1"/>
    <col min="5130" max="5130" width="11.125" style="193" bestFit="1" customWidth="1"/>
    <col min="5131" max="5131" width="11.875" style="193" bestFit="1" customWidth="1"/>
    <col min="5132" max="5133" width="11.125" style="193" bestFit="1" customWidth="1"/>
    <col min="5134" max="5134" width="9.25" style="193" bestFit="1" customWidth="1"/>
    <col min="5135" max="5135" width="6" style="193" customWidth="1"/>
    <col min="5136" max="5136" width="9.25" style="193" customWidth="1"/>
    <col min="5137" max="5137" width="4" style="193" customWidth="1"/>
    <col min="5138" max="5376" width="9" style="193"/>
    <col min="5377" max="5377" width="17" style="193" customWidth="1"/>
    <col min="5378" max="5378" width="12.5" style="193" customWidth="1"/>
    <col min="5379" max="5379" width="12.5" style="193" bestFit="1" customWidth="1"/>
    <col min="5380" max="5380" width="11.625" style="193" bestFit="1" customWidth="1"/>
    <col min="5381" max="5381" width="9.25" style="193" bestFit="1" customWidth="1"/>
    <col min="5382" max="5382" width="11.875" style="193" bestFit="1" customWidth="1"/>
    <col min="5383" max="5383" width="11.125" style="193" bestFit="1" customWidth="1"/>
    <col min="5384" max="5385" width="6" style="193" bestFit="1" customWidth="1"/>
    <col min="5386" max="5386" width="11.125" style="193" bestFit="1" customWidth="1"/>
    <col min="5387" max="5387" width="11.875" style="193" bestFit="1" customWidth="1"/>
    <col min="5388" max="5389" width="11.125" style="193" bestFit="1" customWidth="1"/>
    <col min="5390" max="5390" width="9.25" style="193" bestFit="1" customWidth="1"/>
    <col min="5391" max="5391" width="6" style="193" customWidth="1"/>
    <col min="5392" max="5392" width="9.25" style="193" customWidth="1"/>
    <col min="5393" max="5393" width="4" style="193" customWidth="1"/>
    <col min="5394" max="5632" width="9" style="193"/>
    <col min="5633" max="5633" width="17" style="193" customWidth="1"/>
    <col min="5634" max="5634" width="12.5" style="193" customWidth="1"/>
    <col min="5635" max="5635" width="12.5" style="193" bestFit="1" customWidth="1"/>
    <col min="5636" max="5636" width="11.625" style="193" bestFit="1" customWidth="1"/>
    <col min="5637" max="5637" width="9.25" style="193" bestFit="1" customWidth="1"/>
    <col min="5638" max="5638" width="11.875" style="193" bestFit="1" customWidth="1"/>
    <col min="5639" max="5639" width="11.125" style="193" bestFit="1" customWidth="1"/>
    <col min="5640" max="5641" width="6" style="193" bestFit="1" customWidth="1"/>
    <col min="5642" max="5642" width="11.125" style="193" bestFit="1" customWidth="1"/>
    <col min="5643" max="5643" width="11.875" style="193" bestFit="1" customWidth="1"/>
    <col min="5644" max="5645" width="11.125" style="193" bestFit="1" customWidth="1"/>
    <col min="5646" max="5646" width="9.25" style="193" bestFit="1" customWidth="1"/>
    <col min="5647" max="5647" width="6" style="193" customWidth="1"/>
    <col min="5648" max="5648" width="9.25" style="193" customWidth="1"/>
    <col min="5649" max="5649" width="4" style="193" customWidth="1"/>
    <col min="5650" max="5888" width="9" style="193"/>
    <col min="5889" max="5889" width="17" style="193" customWidth="1"/>
    <col min="5890" max="5890" width="12.5" style="193" customWidth="1"/>
    <col min="5891" max="5891" width="12.5" style="193" bestFit="1" customWidth="1"/>
    <col min="5892" max="5892" width="11.625" style="193" bestFit="1" customWidth="1"/>
    <col min="5893" max="5893" width="9.25" style="193" bestFit="1" customWidth="1"/>
    <col min="5894" max="5894" width="11.875" style="193" bestFit="1" customWidth="1"/>
    <col min="5895" max="5895" width="11.125" style="193" bestFit="1" customWidth="1"/>
    <col min="5896" max="5897" width="6" style="193" bestFit="1" customWidth="1"/>
    <col min="5898" max="5898" width="11.125" style="193" bestFit="1" customWidth="1"/>
    <col min="5899" max="5899" width="11.875" style="193" bestFit="1" customWidth="1"/>
    <col min="5900" max="5901" width="11.125" style="193" bestFit="1" customWidth="1"/>
    <col min="5902" max="5902" width="9.25" style="193" bestFit="1" customWidth="1"/>
    <col min="5903" max="5903" width="6" style="193" customWidth="1"/>
    <col min="5904" max="5904" width="9.25" style="193" customWidth="1"/>
    <col min="5905" max="5905" width="4" style="193" customWidth="1"/>
    <col min="5906" max="6144" width="9" style="193"/>
    <col min="6145" max="6145" width="17" style="193" customWidth="1"/>
    <col min="6146" max="6146" width="12.5" style="193" customWidth="1"/>
    <col min="6147" max="6147" width="12.5" style="193" bestFit="1" customWidth="1"/>
    <col min="6148" max="6148" width="11.625" style="193" bestFit="1" customWidth="1"/>
    <col min="6149" max="6149" width="9.25" style="193" bestFit="1" customWidth="1"/>
    <col min="6150" max="6150" width="11.875" style="193" bestFit="1" customWidth="1"/>
    <col min="6151" max="6151" width="11.125" style="193" bestFit="1" customWidth="1"/>
    <col min="6152" max="6153" width="6" style="193" bestFit="1" customWidth="1"/>
    <col min="6154" max="6154" width="11.125" style="193" bestFit="1" customWidth="1"/>
    <col min="6155" max="6155" width="11.875" style="193" bestFit="1" customWidth="1"/>
    <col min="6156" max="6157" width="11.125" style="193" bestFit="1" customWidth="1"/>
    <col min="6158" max="6158" width="9.25" style="193" bestFit="1" customWidth="1"/>
    <col min="6159" max="6159" width="6" style="193" customWidth="1"/>
    <col min="6160" max="6160" width="9.25" style="193" customWidth="1"/>
    <col min="6161" max="6161" width="4" style="193" customWidth="1"/>
    <col min="6162" max="6400" width="9" style="193"/>
    <col min="6401" max="6401" width="17" style="193" customWidth="1"/>
    <col min="6402" max="6402" width="12.5" style="193" customWidth="1"/>
    <col min="6403" max="6403" width="12.5" style="193" bestFit="1" customWidth="1"/>
    <col min="6404" max="6404" width="11.625" style="193" bestFit="1" customWidth="1"/>
    <col min="6405" max="6405" width="9.25" style="193" bestFit="1" customWidth="1"/>
    <col min="6406" max="6406" width="11.875" style="193" bestFit="1" customWidth="1"/>
    <col min="6407" max="6407" width="11.125" style="193" bestFit="1" customWidth="1"/>
    <col min="6408" max="6409" width="6" style="193" bestFit="1" customWidth="1"/>
    <col min="6410" max="6410" width="11.125" style="193" bestFit="1" customWidth="1"/>
    <col min="6411" max="6411" width="11.875" style="193" bestFit="1" customWidth="1"/>
    <col min="6412" max="6413" width="11.125" style="193" bestFit="1" customWidth="1"/>
    <col min="6414" max="6414" width="9.25" style="193" bestFit="1" customWidth="1"/>
    <col min="6415" max="6415" width="6" style="193" customWidth="1"/>
    <col min="6416" max="6416" width="9.25" style="193" customWidth="1"/>
    <col min="6417" max="6417" width="4" style="193" customWidth="1"/>
    <col min="6418" max="6656" width="9" style="193"/>
    <col min="6657" max="6657" width="17" style="193" customWidth="1"/>
    <col min="6658" max="6658" width="12.5" style="193" customWidth="1"/>
    <col min="6659" max="6659" width="12.5" style="193" bestFit="1" customWidth="1"/>
    <col min="6660" max="6660" width="11.625" style="193" bestFit="1" customWidth="1"/>
    <col min="6661" max="6661" width="9.25" style="193" bestFit="1" customWidth="1"/>
    <col min="6662" max="6662" width="11.875" style="193" bestFit="1" customWidth="1"/>
    <col min="6663" max="6663" width="11.125" style="193" bestFit="1" customWidth="1"/>
    <col min="6664" max="6665" width="6" style="193" bestFit="1" customWidth="1"/>
    <col min="6666" max="6666" width="11.125" style="193" bestFit="1" customWidth="1"/>
    <col min="6667" max="6667" width="11.875" style="193" bestFit="1" customWidth="1"/>
    <col min="6668" max="6669" width="11.125" style="193" bestFit="1" customWidth="1"/>
    <col min="6670" max="6670" width="9.25" style="193" bestFit="1" customWidth="1"/>
    <col min="6671" max="6671" width="6" style="193" customWidth="1"/>
    <col min="6672" max="6672" width="9.25" style="193" customWidth="1"/>
    <col min="6673" max="6673" width="4" style="193" customWidth="1"/>
    <col min="6674" max="6912" width="9" style="193"/>
    <col min="6913" max="6913" width="17" style="193" customWidth="1"/>
    <col min="6914" max="6914" width="12.5" style="193" customWidth="1"/>
    <col min="6915" max="6915" width="12.5" style="193" bestFit="1" customWidth="1"/>
    <col min="6916" max="6916" width="11.625" style="193" bestFit="1" customWidth="1"/>
    <col min="6917" max="6917" width="9.25" style="193" bestFit="1" customWidth="1"/>
    <col min="6918" max="6918" width="11.875" style="193" bestFit="1" customWidth="1"/>
    <col min="6919" max="6919" width="11.125" style="193" bestFit="1" customWidth="1"/>
    <col min="6920" max="6921" width="6" style="193" bestFit="1" customWidth="1"/>
    <col min="6922" max="6922" width="11.125" style="193" bestFit="1" customWidth="1"/>
    <col min="6923" max="6923" width="11.875" style="193" bestFit="1" customWidth="1"/>
    <col min="6924" max="6925" width="11.125" style="193" bestFit="1" customWidth="1"/>
    <col min="6926" max="6926" width="9.25" style="193" bestFit="1" customWidth="1"/>
    <col min="6927" max="6927" width="6" style="193" customWidth="1"/>
    <col min="6928" max="6928" width="9.25" style="193" customWidth="1"/>
    <col min="6929" max="6929" width="4" style="193" customWidth="1"/>
    <col min="6930" max="7168" width="9" style="193"/>
    <col min="7169" max="7169" width="17" style="193" customWidth="1"/>
    <col min="7170" max="7170" width="12.5" style="193" customWidth="1"/>
    <col min="7171" max="7171" width="12.5" style="193" bestFit="1" customWidth="1"/>
    <col min="7172" max="7172" width="11.625" style="193" bestFit="1" customWidth="1"/>
    <col min="7173" max="7173" width="9.25" style="193" bestFit="1" customWidth="1"/>
    <col min="7174" max="7174" width="11.875" style="193" bestFit="1" customWidth="1"/>
    <col min="7175" max="7175" width="11.125" style="193" bestFit="1" customWidth="1"/>
    <col min="7176" max="7177" width="6" style="193" bestFit="1" customWidth="1"/>
    <col min="7178" max="7178" width="11.125" style="193" bestFit="1" customWidth="1"/>
    <col min="7179" max="7179" width="11.875" style="193" bestFit="1" customWidth="1"/>
    <col min="7180" max="7181" width="11.125" style="193" bestFit="1" customWidth="1"/>
    <col min="7182" max="7182" width="9.25" style="193" bestFit="1" customWidth="1"/>
    <col min="7183" max="7183" width="6" style="193" customWidth="1"/>
    <col min="7184" max="7184" width="9.25" style="193" customWidth="1"/>
    <col min="7185" max="7185" width="4" style="193" customWidth="1"/>
    <col min="7186" max="7424" width="9" style="193"/>
    <col min="7425" max="7425" width="17" style="193" customWidth="1"/>
    <col min="7426" max="7426" width="12.5" style="193" customWidth="1"/>
    <col min="7427" max="7427" width="12.5" style="193" bestFit="1" customWidth="1"/>
    <col min="7428" max="7428" width="11.625" style="193" bestFit="1" customWidth="1"/>
    <col min="7429" max="7429" width="9.25" style="193" bestFit="1" customWidth="1"/>
    <col min="7430" max="7430" width="11.875" style="193" bestFit="1" customWidth="1"/>
    <col min="7431" max="7431" width="11.125" style="193" bestFit="1" customWidth="1"/>
    <col min="7432" max="7433" width="6" style="193" bestFit="1" customWidth="1"/>
    <col min="7434" max="7434" width="11.125" style="193" bestFit="1" customWidth="1"/>
    <col min="7435" max="7435" width="11.875" style="193" bestFit="1" customWidth="1"/>
    <col min="7436" max="7437" width="11.125" style="193" bestFit="1" customWidth="1"/>
    <col min="7438" max="7438" width="9.25" style="193" bestFit="1" customWidth="1"/>
    <col min="7439" max="7439" width="6" style="193" customWidth="1"/>
    <col min="7440" max="7440" width="9.25" style="193" customWidth="1"/>
    <col min="7441" max="7441" width="4" style="193" customWidth="1"/>
    <col min="7442" max="7680" width="9" style="193"/>
    <col min="7681" max="7681" width="17" style="193" customWidth="1"/>
    <col min="7682" max="7682" width="12.5" style="193" customWidth="1"/>
    <col min="7683" max="7683" width="12.5" style="193" bestFit="1" customWidth="1"/>
    <col min="7684" max="7684" width="11.625" style="193" bestFit="1" customWidth="1"/>
    <col min="7685" max="7685" width="9.25" style="193" bestFit="1" customWidth="1"/>
    <col min="7686" max="7686" width="11.875" style="193" bestFit="1" customWidth="1"/>
    <col min="7687" max="7687" width="11.125" style="193" bestFit="1" customWidth="1"/>
    <col min="7688" max="7689" width="6" style="193" bestFit="1" customWidth="1"/>
    <col min="7690" max="7690" width="11.125" style="193" bestFit="1" customWidth="1"/>
    <col min="7691" max="7691" width="11.875" style="193" bestFit="1" customWidth="1"/>
    <col min="7692" max="7693" width="11.125" style="193" bestFit="1" customWidth="1"/>
    <col min="7694" max="7694" width="9.25" style="193" bestFit="1" customWidth="1"/>
    <col min="7695" max="7695" width="6" style="193" customWidth="1"/>
    <col min="7696" max="7696" width="9.25" style="193" customWidth="1"/>
    <col min="7697" max="7697" width="4" style="193" customWidth="1"/>
    <col min="7698" max="7936" width="9" style="193"/>
    <col min="7937" max="7937" width="17" style="193" customWidth="1"/>
    <col min="7938" max="7938" width="12.5" style="193" customWidth="1"/>
    <col min="7939" max="7939" width="12.5" style="193" bestFit="1" customWidth="1"/>
    <col min="7940" max="7940" width="11.625" style="193" bestFit="1" customWidth="1"/>
    <col min="7941" max="7941" width="9.25" style="193" bestFit="1" customWidth="1"/>
    <col min="7942" max="7942" width="11.875" style="193" bestFit="1" customWidth="1"/>
    <col min="7943" max="7943" width="11.125" style="193" bestFit="1" customWidth="1"/>
    <col min="7944" max="7945" width="6" style="193" bestFit="1" customWidth="1"/>
    <col min="7946" max="7946" width="11.125" style="193" bestFit="1" customWidth="1"/>
    <col min="7947" max="7947" width="11.875" style="193" bestFit="1" customWidth="1"/>
    <col min="7948" max="7949" width="11.125" style="193" bestFit="1" customWidth="1"/>
    <col min="7950" max="7950" width="9.25" style="193" bestFit="1" customWidth="1"/>
    <col min="7951" max="7951" width="6" style="193" customWidth="1"/>
    <col min="7952" max="7952" width="9.25" style="193" customWidth="1"/>
    <col min="7953" max="7953" width="4" style="193" customWidth="1"/>
    <col min="7954" max="8192" width="9" style="193"/>
    <col min="8193" max="8193" width="17" style="193" customWidth="1"/>
    <col min="8194" max="8194" width="12.5" style="193" customWidth="1"/>
    <col min="8195" max="8195" width="12.5" style="193" bestFit="1" customWidth="1"/>
    <col min="8196" max="8196" width="11.625" style="193" bestFit="1" customWidth="1"/>
    <col min="8197" max="8197" width="9.25" style="193" bestFit="1" customWidth="1"/>
    <col min="8198" max="8198" width="11.875" style="193" bestFit="1" customWidth="1"/>
    <col min="8199" max="8199" width="11.125" style="193" bestFit="1" customWidth="1"/>
    <col min="8200" max="8201" width="6" style="193" bestFit="1" customWidth="1"/>
    <col min="8202" max="8202" width="11.125" style="193" bestFit="1" customWidth="1"/>
    <col min="8203" max="8203" width="11.875" style="193" bestFit="1" customWidth="1"/>
    <col min="8204" max="8205" width="11.125" style="193" bestFit="1" customWidth="1"/>
    <col min="8206" max="8206" width="9.25" style="193" bestFit="1" customWidth="1"/>
    <col min="8207" max="8207" width="6" style="193" customWidth="1"/>
    <col min="8208" max="8208" width="9.25" style="193" customWidth="1"/>
    <col min="8209" max="8209" width="4" style="193" customWidth="1"/>
    <col min="8210" max="8448" width="9" style="193"/>
    <col min="8449" max="8449" width="17" style="193" customWidth="1"/>
    <col min="8450" max="8450" width="12.5" style="193" customWidth="1"/>
    <col min="8451" max="8451" width="12.5" style="193" bestFit="1" customWidth="1"/>
    <col min="8452" max="8452" width="11.625" style="193" bestFit="1" customWidth="1"/>
    <col min="8453" max="8453" width="9.25" style="193" bestFit="1" customWidth="1"/>
    <col min="8454" max="8454" width="11.875" style="193" bestFit="1" customWidth="1"/>
    <col min="8455" max="8455" width="11.125" style="193" bestFit="1" customWidth="1"/>
    <col min="8456" max="8457" width="6" style="193" bestFit="1" customWidth="1"/>
    <col min="8458" max="8458" width="11.125" style="193" bestFit="1" customWidth="1"/>
    <col min="8459" max="8459" width="11.875" style="193" bestFit="1" customWidth="1"/>
    <col min="8460" max="8461" width="11.125" style="193" bestFit="1" customWidth="1"/>
    <col min="8462" max="8462" width="9.25" style="193" bestFit="1" customWidth="1"/>
    <col min="8463" max="8463" width="6" style="193" customWidth="1"/>
    <col min="8464" max="8464" width="9.25" style="193" customWidth="1"/>
    <col min="8465" max="8465" width="4" style="193" customWidth="1"/>
    <col min="8466" max="8704" width="9" style="193"/>
    <col min="8705" max="8705" width="17" style="193" customWidth="1"/>
    <col min="8706" max="8706" width="12.5" style="193" customWidth="1"/>
    <col min="8707" max="8707" width="12.5" style="193" bestFit="1" customWidth="1"/>
    <col min="8708" max="8708" width="11.625" style="193" bestFit="1" customWidth="1"/>
    <col min="8709" max="8709" width="9.25" style="193" bestFit="1" customWidth="1"/>
    <col min="8710" max="8710" width="11.875" style="193" bestFit="1" customWidth="1"/>
    <col min="8711" max="8711" width="11.125" style="193" bestFit="1" customWidth="1"/>
    <col min="8712" max="8713" width="6" style="193" bestFit="1" customWidth="1"/>
    <col min="8714" max="8714" width="11.125" style="193" bestFit="1" customWidth="1"/>
    <col min="8715" max="8715" width="11.875" style="193" bestFit="1" customWidth="1"/>
    <col min="8716" max="8717" width="11.125" style="193" bestFit="1" customWidth="1"/>
    <col min="8718" max="8718" width="9.25" style="193" bestFit="1" customWidth="1"/>
    <col min="8719" max="8719" width="6" style="193" customWidth="1"/>
    <col min="8720" max="8720" width="9.25" style="193" customWidth="1"/>
    <col min="8721" max="8721" width="4" style="193" customWidth="1"/>
    <col min="8722" max="8960" width="9" style="193"/>
    <col min="8961" max="8961" width="17" style="193" customWidth="1"/>
    <col min="8962" max="8962" width="12.5" style="193" customWidth="1"/>
    <col min="8963" max="8963" width="12.5" style="193" bestFit="1" customWidth="1"/>
    <col min="8964" max="8964" width="11.625" style="193" bestFit="1" customWidth="1"/>
    <col min="8965" max="8965" width="9.25" style="193" bestFit="1" customWidth="1"/>
    <col min="8966" max="8966" width="11.875" style="193" bestFit="1" customWidth="1"/>
    <col min="8967" max="8967" width="11.125" style="193" bestFit="1" customWidth="1"/>
    <col min="8968" max="8969" width="6" style="193" bestFit="1" customWidth="1"/>
    <col min="8970" max="8970" width="11.125" style="193" bestFit="1" customWidth="1"/>
    <col min="8971" max="8971" width="11.875" style="193" bestFit="1" customWidth="1"/>
    <col min="8972" max="8973" width="11.125" style="193" bestFit="1" customWidth="1"/>
    <col min="8974" max="8974" width="9.25" style="193" bestFit="1" customWidth="1"/>
    <col min="8975" max="8975" width="6" style="193" customWidth="1"/>
    <col min="8976" max="8976" width="9.25" style="193" customWidth="1"/>
    <col min="8977" max="8977" width="4" style="193" customWidth="1"/>
    <col min="8978" max="9216" width="9" style="193"/>
    <col min="9217" max="9217" width="17" style="193" customWidth="1"/>
    <col min="9218" max="9218" width="12.5" style="193" customWidth="1"/>
    <col min="9219" max="9219" width="12.5" style="193" bestFit="1" customWidth="1"/>
    <col min="9220" max="9220" width="11.625" style="193" bestFit="1" customWidth="1"/>
    <col min="9221" max="9221" width="9.25" style="193" bestFit="1" customWidth="1"/>
    <col min="9222" max="9222" width="11.875" style="193" bestFit="1" customWidth="1"/>
    <col min="9223" max="9223" width="11.125" style="193" bestFit="1" customWidth="1"/>
    <col min="9224" max="9225" width="6" style="193" bestFit="1" customWidth="1"/>
    <col min="9226" max="9226" width="11.125" style="193" bestFit="1" customWidth="1"/>
    <col min="9227" max="9227" width="11.875" style="193" bestFit="1" customWidth="1"/>
    <col min="9228" max="9229" width="11.125" style="193" bestFit="1" customWidth="1"/>
    <col min="9230" max="9230" width="9.25" style="193" bestFit="1" customWidth="1"/>
    <col min="9231" max="9231" width="6" style="193" customWidth="1"/>
    <col min="9232" max="9232" width="9.25" style="193" customWidth="1"/>
    <col min="9233" max="9233" width="4" style="193" customWidth="1"/>
    <col min="9234" max="9472" width="9" style="193"/>
    <col min="9473" max="9473" width="17" style="193" customWidth="1"/>
    <col min="9474" max="9474" width="12.5" style="193" customWidth="1"/>
    <col min="9475" max="9475" width="12.5" style="193" bestFit="1" customWidth="1"/>
    <col min="9476" max="9476" width="11.625" style="193" bestFit="1" customWidth="1"/>
    <col min="9477" max="9477" width="9.25" style="193" bestFit="1" customWidth="1"/>
    <col min="9478" max="9478" width="11.875" style="193" bestFit="1" customWidth="1"/>
    <col min="9479" max="9479" width="11.125" style="193" bestFit="1" customWidth="1"/>
    <col min="9480" max="9481" width="6" style="193" bestFit="1" customWidth="1"/>
    <col min="9482" max="9482" width="11.125" style="193" bestFit="1" customWidth="1"/>
    <col min="9483" max="9483" width="11.875" style="193" bestFit="1" customWidth="1"/>
    <col min="9484" max="9485" width="11.125" style="193" bestFit="1" customWidth="1"/>
    <col min="9486" max="9486" width="9.25" style="193" bestFit="1" customWidth="1"/>
    <col min="9487" max="9487" width="6" style="193" customWidth="1"/>
    <col min="9488" max="9488" width="9.25" style="193" customWidth="1"/>
    <col min="9489" max="9489" width="4" style="193" customWidth="1"/>
    <col min="9490" max="9728" width="9" style="193"/>
    <col min="9729" max="9729" width="17" style="193" customWidth="1"/>
    <col min="9730" max="9730" width="12.5" style="193" customWidth="1"/>
    <col min="9731" max="9731" width="12.5" style="193" bestFit="1" customWidth="1"/>
    <col min="9732" max="9732" width="11.625" style="193" bestFit="1" customWidth="1"/>
    <col min="9733" max="9733" width="9.25" style="193" bestFit="1" customWidth="1"/>
    <col min="9734" max="9734" width="11.875" style="193" bestFit="1" customWidth="1"/>
    <col min="9735" max="9735" width="11.125" style="193" bestFit="1" customWidth="1"/>
    <col min="9736" max="9737" width="6" style="193" bestFit="1" customWidth="1"/>
    <col min="9738" max="9738" width="11.125" style="193" bestFit="1" customWidth="1"/>
    <col min="9739" max="9739" width="11.875" style="193" bestFit="1" customWidth="1"/>
    <col min="9740" max="9741" width="11.125" style="193" bestFit="1" customWidth="1"/>
    <col min="9742" max="9742" width="9.25" style="193" bestFit="1" customWidth="1"/>
    <col min="9743" max="9743" width="6" style="193" customWidth="1"/>
    <col min="9744" max="9744" width="9.25" style="193" customWidth="1"/>
    <col min="9745" max="9745" width="4" style="193" customWidth="1"/>
    <col min="9746" max="9984" width="9" style="193"/>
    <col min="9985" max="9985" width="17" style="193" customWidth="1"/>
    <col min="9986" max="9986" width="12.5" style="193" customWidth="1"/>
    <col min="9987" max="9987" width="12.5" style="193" bestFit="1" customWidth="1"/>
    <col min="9988" max="9988" width="11.625" style="193" bestFit="1" customWidth="1"/>
    <col min="9989" max="9989" width="9.25" style="193" bestFit="1" customWidth="1"/>
    <col min="9990" max="9990" width="11.875" style="193" bestFit="1" customWidth="1"/>
    <col min="9991" max="9991" width="11.125" style="193" bestFit="1" customWidth="1"/>
    <col min="9992" max="9993" width="6" style="193" bestFit="1" customWidth="1"/>
    <col min="9994" max="9994" width="11.125" style="193" bestFit="1" customWidth="1"/>
    <col min="9995" max="9995" width="11.875" style="193" bestFit="1" customWidth="1"/>
    <col min="9996" max="9997" width="11.125" style="193" bestFit="1" customWidth="1"/>
    <col min="9998" max="9998" width="9.25" style="193" bestFit="1" customWidth="1"/>
    <col min="9999" max="9999" width="6" style="193" customWidth="1"/>
    <col min="10000" max="10000" width="9.25" style="193" customWidth="1"/>
    <col min="10001" max="10001" width="4" style="193" customWidth="1"/>
    <col min="10002" max="10240" width="9" style="193"/>
    <col min="10241" max="10241" width="17" style="193" customWidth="1"/>
    <col min="10242" max="10242" width="12.5" style="193" customWidth="1"/>
    <col min="10243" max="10243" width="12.5" style="193" bestFit="1" customWidth="1"/>
    <col min="10244" max="10244" width="11.625" style="193" bestFit="1" customWidth="1"/>
    <col min="10245" max="10245" width="9.25" style="193" bestFit="1" customWidth="1"/>
    <col min="10246" max="10246" width="11.875" style="193" bestFit="1" customWidth="1"/>
    <col min="10247" max="10247" width="11.125" style="193" bestFit="1" customWidth="1"/>
    <col min="10248" max="10249" width="6" style="193" bestFit="1" customWidth="1"/>
    <col min="10250" max="10250" width="11.125" style="193" bestFit="1" customWidth="1"/>
    <col min="10251" max="10251" width="11.875" style="193" bestFit="1" customWidth="1"/>
    <col min="10252" max="10253" width="11.125" style="193" bestFit="1" customWidth="1"/>
    <col min="10254" max="10254" width="9.25" style="193" bestFit="1" customWidth="1"/>
    <col min="10255" max="10255" width="6" style="193" customWidth="1"/>
    <col min="10256" max="10256" width="9.25" style="193" customWidth="1"/>
    <col min="10257" max="10257" width="4" style="193" customWidth="1"/>
    <col min="10258" max="10496" width="9" style="193"/>
    <col min="10497" max="10497" width="17" style="193" customWidth="1"/>
    <col min="10498" max="10498" width="12.5" style="193" customWidth="1"/>
    <col min="10499" max="10499" width="12.5" style="193" bestFit="1" customWidth="1"/>
    <col min="10500" max="10500" width="11.625" style="193" bestFit="1" customWidth="1"/>
    <col min="10501" max="10501" width="9.25" style="193" bestFit="1" customWidth="1"/>
    <col min="10502" max="10502" width="11.875" style="193" bestFit="1" customWidth="1"/>
    <col min="10503" max="10503" width="11.125" style="193" bestFit="1" customWidth="1"/>
    <col min="10504" max="10505" width="6" style="193" bestFit="1" customWidth="1"/>
    <col min="10506" max="10506" width="11.125" style="193" bestFit="1" customWidth="1"/>
    <col min="10507" max="10507" width="11.875" style="193" bestFit="1" customWidth="1"/>
    <col min="10508" max="10509" width="11.125" style="193" bestFit="1" customWidth="1"/>
    <col min="10510" max="10510" width="9.25" style="193" bestFit="1" customWidth="1"/>
    <col min="10511" max="10511" width="6" style="193" customWidth="1"/>
    <col min="10512" max="10512" width="9.25" style="193" customWidth="1"/>
    <col min="10513" max="10513" width="4" style="193" customWidth="1"/>
    <col min="10514" max="10752" width="9" style="193"/>
    <col min="10753" max="10753" width="17" style="193" customWidth="1"/>
    <col min="10754" max="10754" width="12.5" style="193" customWidth="1"/>
    <col min="10755" max="10755" width="12.5" style="193" bestFit="1" customWidth="1"/>
    <col min="10756" max="10756" width="11.625" style="193" bestFit="1" customWidth="1"/>
    <col min="10757" max="10757" width="9.25" style="193" bestFit="1" customWidth="1"/>
    <col min="10758" max="10758" width="11.875" style="193" bestFit="1" customWidth="1"/>
    <col min="10759" max="10759" width="11.125" style="193" bestFit="1" customWidth="1"/>
    <col min="10760" max="10761" width="6" style="193" bestFit="1" customWidth="1"/>
    <col min="10762" max="10762" width="11.125" style="193" bestFit="1" customWidth="1"/>
    <col min="10763" max="10763" width="11.875" style="193" bestFit="1" customWidth="1"/>
    <col min="10764" max="10765" width="11.125" style="193" bestFit="1" customWidth="1"/>
    <col min="10766" max="10766" width="9.25" style="193" bestFit="1" customWidth="1"/>
    <col min="10767" max="10767" width="6" style="193" customWidth="1"/>
    <col min="10768" max="10768" width="9.25" style="193" customWidth="1"/>
    <col min="10769" max="10769" width="4" style="193" customWidth="1"/>
    <col min="10770" max="11008" width="9" style="193"/>
    <col min="11009" max="11009" width="17" style="193" customWidth="1"/>
    <col min="11010" max="11010" width="12.5" style="193" customWidth="1"/>
    <col min="11011" max="11011" width="12.5" style="193" bestFit="1" customWidth="1"/>
    <col min="11012" max="11012" width="11.625" style="193" bestFit="1" customWidth="1"/>
    <col min="11013" max="11013" width="9.25" style="193" bestFit="1" customWidth="1"/>
    <col min="11014" max="11014" width="11.875" style="193" bestFit="1" customWidth="1"/>
    <col min="11015" max="11015" width="11.125" style="193" bestFit="1" customWidth="1"/>
    <col min="11016" max="11017" width="6" style="193" bestFit="1" customWidth="1"/>
    <col min="11018" max="11018" width="11.125" style="193" bestFit="1" customWidth="1"/>
    <col min="11019" max="11019" width="11.875" style="193" bestFit="1" customWidth="1"/>
    <col min="11020" max="11021" width="11.125" style="193" bestFit="1" customWidth="1"/>
    <col min="11022" max="11022" width="9.25" style="193" bestFit="1" customWidth="1"/>
    <col min="11023" max="11023" width="6" style="193" customWidth="1"/>
    <col min="11024" max="11024" width="9.25" style="193" customWidth="1"/>
    <col min="11025" max="11025" width="4" style="193" customWidth="1"/>
    <col min="11026" max="11264" width="9" style="193"/>
    <col min="11265" max="11265" width="17" style="193" customWidth="1"/>
    <col min="11266" max="11266" width="12.5" style="193" customWidth="1"/>
    <col min="11267" max="11267" width="12.5" style="193" bestFit="1" customWidth="1"/>
    <col min="11268" max="11268" width="11.625" style="193" bestFit="1" customWidth="1"/>
    <col min="11269" max="11269" width="9.25" style="193" bestFit="1" customWidth="1"/>
    <col min="11270" max="11270" width="11.875" style="193" bestFit="1" customWidth="1"/>
    <col min="11271" max="11271" width="11.125" style="193" bestFit="1" customWidth="1"/>
    <col min="11272" max="11273" width="6" style="193" bestFit="1" customWidth="1"/>
    <col min="11274" max="11274" width="11.125" style="193" bestFit="1" customWidth="1"/>
    <col min="11275" max="11275" width="11.875" style="193" bestFit="1" customWidth="1"/>
    <col min="11276" max="11277" width="11.125" style="193" bestFit="1" customWidth="1"/>
    <col min="11278" max="11278" width="9.25" style="193" bestFit="1" customWidth="1"/>
    <col min="11279" max="11279" width="6" style="193" customWidth="1"/>
    <col min="11280" max="11280" width="9.25" style="193" customWidth="1"/>
    <col min="11281" max="11281" width="4" style="193" customWidth="1"/>
    <col min="11282" max="11520" width="9" style="193"/>
    <col min="11521" max="11521" width="17" style="193" customWidth="1"/>
    <col min="11522" max="11522" width="12.5" style="193" customWidth="1"/>
    <col min="11523" max="11523" width="12.5" style="193" bestFit="1" customWidth="1"/>
    <col min="11524" max="11524" width="11.625" style="193" bestFit="1" customWidth="1"/>
    <col min="11525" max="11525" width="9.25" style="193" bestFit="1" customWidth="1"/>
    <col min="11526" max="11526" width="11.875" style="193" bestFit="1" customWidth="1"/>
    <col min="11527" max="11527" width="11.125" style="193" bestFit="1" customWidth="1"/>
    <col min="11528" max="11529" width="6" style="193" bestFit="1" customWidth="1"/>
    <col min="11530" max="11530" width="11.125" style="193" bestFit="1" customWidth="1"/>
    <col min="11531" max="11531" width="11.875" style="193" bestFit="1" customWidth="1"/>
    <col min="11532" max="11533" width="11.125" style="193" bestFit="1" customWidth="1"/>
    <col min="11534" max="11534" width="9.25" style="193" bestFit="1" customWidth="1"/>
    <col min="11535" max="11535" width="6" style="193" customWidth="1"/>
    <col min="11536" max="11536" width="9.25" style="193" customWidth="1"/>
    <col min="11537" max="11537" width="4" style="193" customWidth="1"/>
    <col min="11538" max="11776" width="9" style="193"/>
    <col min="11777" max="11777" width="17" style="193" customWidth="1"/>
    <col min="11778" max="11778" width="12.5" style="193" customWidth="1"/>
    <col min="11779" max="11779" width="12.5" style="193" bestFit="1" customWidth="1"/>
    <col min="11780" max="11780" width="11.625" style="193" bestFit="1" customWidth="1"/>
    <col min="11781" max="11781" width="9.25" style="193" bestFit="1" customWidth="1"/>
    <col min="11782" max="11782" width="11.875" style="193" bestFit="1" customWidth="1"/>
    <col min="11783" max="11783" width="11.125" style="193" bestFit="1" customWidth="1"/>
    <col min="11784" max="11785" width="6" style="193" bestFit="1" customWidth="1"/>
    <col min="11786" max="11786" width="11.125" style="193" bestFit="1" customWidth="1"/>
    <col min="11787" max="11787" width="11.875" style="193" bestFit="1" customWidth="1"/>
    <col min="11788" max="11789" width="11.125" style="193" bestFit="1" customWidth="1"/>
    <col min="11790" max="11790" width="9.25" style="193" bestFit="1" customWidth="1"/>
    <col min="11791" max="11791" width="6" style="193" customWidth="1"/>
    <col min="11792" max="11792" width="9.25" style="193" customWidth="1"/>
    <col min="11793" max="11793" width="4" style="193" customWidth="1"/>
    <col min="11794" max="12032" width="9" style="193"/>
    <col min="12033" max="12033" width="17" style="193" customWidth="1"/>
    <col min="12034" max="12034" width="12.5" style="193" customWidth="1"/>
    <col min="12035" max="12035" width="12.5" style="193" bestFit="1" customWidth="1"/>
    <col min="12036" max="12036" width="11.625" style="193" bestFit="1" customWidth="1"/>
    <col min="12037" max="12037" width="9.25" style="193" bestFit="1" customWidth="1"/>
    <col min="12038" max="12038" width="11.875" style="193" bestFit="1" customWidth="1"/>
    <col min="12039" max="12039" width="11.125" style="193" bestFit="1" customWidth="1"/>
    <col min="12040" max="12041" width="6" style="193" bestFit="1" customWidth="1"/>
    <col min="12042" max="12042" width="11.125" style="193" bestFit="1" customWidth="1"/>
    <col min="12043" max="12043" width="11.875" style="193" bestFit="1" customWidth="1"/>
    <col min="12044" max="12045" width="11.125" style="193" bestFit="1" customWidth="1"/>
    <col min="12046" max="12046" width="9.25" style="193" bestFit="1" customWidth="1"/>
    <col min="12047" max="12047" width="6" style="193" customWidth="1"/>
    <col min="12048" max="12048" width="9.25" style="193" customWidth="1"/>
    <col min="12049" max="12049" width="4" style="193" customWidth="1"/>
    <col min="12050" max="12288" width="9" style="193"/>
    <col min="12289" max="12289" width="17" style="193" customWidth="1"/>
    <col min="12290" max="12290" width="12.5" style="193" customWidth="1"/>
    <col min="12291" max="12291" width="12.5" style="193" bestFit="1" customWidth="1"/>
    <col min="12292" max="12292" width="11.625" style="193" bestFit="1" customWidth="1"/>
    <col min="12293" max="12293" width="9.25" style="193" bestFit="1" customWidth="1"/>
    <col min="12294" max="12294" width="11.875" style="193" bestFit="1" customWidth="1"/>
    <col min="12295" max="12295" width="11.125" style="193" bestFit="1" customWidth="1"/>
    <col min="12296" max="12297" width="6" style="193" bestFit="1" customWidth="1"/>
    <col min="12298" max="12298" width="11.125" style="193" bestFit="1" customWidth="1"/>
    <col min="12299" max="12299" width="11.875" style="193" bestFit="1" customWidth="1"/>
    <col min="12300" max="12301" width="11.125" style="193" bestFit="1" customWidth="1"/>
    <col min="12302" max="12302" width="9.25" style="193" bestFit="1" customWidth="1"/>
    <col min="12303" max="12303" width="6" style="193" customWidth="1"/>
    <col min="12304" max="12304" width="9.25" style="193" customWidth="1"/>
    <col min="12305" max="12305" width="4" style="193" customWidth="1"/>
    <col min="12306" max="12544" width="9" style="193"/>
    <col min="12545" max="12545" width="17" style="193" customWidth="1"/>
    <col min="12546" max="12546" width="12.5" style="193" customWidth="1"/>
    <col min="12547" max="12547" width="12.5" style="193" bestFit="1" customWidth="1"/>
    <col min="12548" max="12548" width="11.625" style="193" bestFit="1" customWidth="1"/>
    <col min="12549" max="12549" width="9.25" style="193" bestFit="1" customWidth="1"/>
    <col min="12550" max="12550" width="11.875" style="193" bestFit="1" customWidth="1"/>
    <col min="12551" max="12551" width="11.125" style="193" bestFit="1" customWidth="1"/>
    <col min="12552" max="12553" width="6" style="193" bestFit="1" customWidth="1"/>
    <col min="12554" max="12554" width="11.125" style="193" bestFit="1" customWidth="1"/>
    <col min="12555" max="12555" width="11.875" style="193" bestFit="1" customWidth="1"/>
    <col min="12556" max="12557" width="11.125" style="193" bestFit="1" customWidth="1"/>
    <col min="12558" max="12558" width="9.25" style="193" bestFit="1" customWidth="1"/>
    <col min="12559" max="12559" width="6" style="193" customWidth="1"/>
    <col min="12560" max="12560" width="9.25" style="193" customWidth="1"/>
    <col min="12561" max="12561" width="4" style="193" customWidth="1"/>
    <col min="12562" max="12800" width="9" style="193"/>
    <col min="12801" max="12801" width="17" style="193" customWidth="1"/>
    <col min="12802" max="12802" width="12.5" style="193" customWidth="1"/>
    <col min="12803" max="12803" width="12.5" style="193" bestFit="1" customWidth="1"/>
    <col min="12804" max="12804" width="11.625" style="193" bestFit="1" customWidth="1"/>
    <col min="12805" max="12805" width="9.25" style="193" bestFit="1" customWidth="1"/>
    <col min="12806" max="12806" width="11.875" style="193" bestFit="1" customWidth="1"/>
    <col min="12807" max="12807" width="11.125" style="193" bestFit="1" customWidth="1"/>
    <col min="12808" max="12809" width="6" style="193" bestFit="1" customWidth="1"/>
    <col min="12810" max="12810" width="11.125" style="193" bestFit="1" customWidth="1"/>
    <col min="12811" max="12811" width="11.875" style="193" bestFit="1" customWidth="1"/>
    <col min="12812" max="12813" width="11.125" style="193" bestFit="1" customWidth="1"/>
    <col min="12814" max="12814" width="9.25" style="193" bestFit="1" customWidth="1"/>
    <col min="12815" max="12815" width="6" style="193" customWidth="1"/>
    <col min="12816" max="12816" width="9.25" style="193" customWidth="1"/>
    <col min="12817" max="12817" width="4" style="193" customWidth="1"/>
    <col min="12818" max="13056" width="9" style="193"/>
    <col min="13057" max="13057" width="17" style="193" customWidth="1"/>
    <col min="13058" max="13058" width="12.5" style="193" customWidth="1"/>
    <col min="13059" max="13059" width="12.5" style="193" bestFit="1" customWidth="1"/>
    <col min="13060" max="13060" width="11.625" style="193" bestFit="1" customWidth="1"/>
    <col min="13061" max="13061" width="9.25" style="193" bestFit="1" customWidth="1"/>
    <col min="13062" max="13062" width="11.875" style="193" bestFit="1" customWidth="1"/>
    <col min="13063" max="13063" width="11.125" style="193" bestFit="1" customWidth="1"/>
    <col min="13064" max="13065" width="6" style="193" bestFit="1" customWidth="1"/>
    <col min="13066" max="13066" width="11.125" style="193" bestFit="1" customWidth="1"/>
    <col min="13067" max="13067" width="11.875" style="193" bestFit="1" customWidth="1"/>
    <col min="13068" max="13069" width="11.125" style="193" bestFit="1" customWidth="1"/>
    <col min="13070" max="13070" width="9.25" style="193" bestFit="1" customWidth="1"/>
    <col min="13071" max="13071" width="6" style="193" customWidth="1"/>
    <col min="13072" max="13072" width="9.25" style="193" customWidth="1"/>
    <col min="13073" max="13073" width="4" style="193" customWidth="1"/>
    <col min="13074" max="13312" width="9" style="193"/>
    <col min="13313" max="13313" width="17" style="193" customWidth="1"/>
    <col min="13314" max="13314" width="12.5" style="193" customWidth="1"/>
    <col min="13315" max="13315" width="12.5" style="193" bestFit="1" customWidth="1"/>
    <col min="13316" max="13316" width="11.625" style="193" bestFit="1" customWidth="1"/>
    <col min="13317" max="13317" width="9.25" style="193" bestFit="1" customWidth="1"/>
    <col min="13318" max="13318" width="11.875" style="193" bestFit="1" customWidth="1"/>
    <col min="13319" max="13319" width="11.125" style="193" bestFit="1" customWidth="1"/>
    <col min="13320" max="13321" width="6" style="193" bestFit="1" customWidth="1"/>
    <col min="13322" max="13322" width="11.125" style="193" bestFit="1" customWidth="1"/>
    <col min="13323" max="13323" width="11.875" style="193" bestFit="1" customWidth="1"/>
    <col min="13324" max="13325" width="11.125" style="193" bestFit="1" customWidth="1"/>
    <col min="13326" max="13326" width="9.25" style="193" bestFit="1" customWidth="1"/>
    <col min="13327" max="13327" width="6" style="193" customWidth="1"/>
    <col min="13328" max="13328" width="9.25" style="193" customWidth="1"/>
    <col min="13329" max="13329" width="4" style="193" customWidth="1"/>
    <col min="13330" max="13568" width="9" style="193"/>
    <col min="13569" max="13569" width="17" style="193" customWidth="1"/>
    <col min="13570" max="13570" width="12.5" style="193" customWidth="1"/>
    <col min="13571" max="13571" width="12.5" style="193" bestFit="1" customWidth="1"/>
    <col min="13572" max="13572" width="11.625" style="193" bestFit="1" customWidth="1"/>
    <col min="13573" max="13573" width="9.25" style="193" bestFit="1" customWidth="1"/>
    <col min="13574" max="13574" width="11.875" style="193" bestFit="1" customWidth="1"/>
    <col min="13575" max="13575" width="11.125" style="193" bestFit="1" customWidth="1"/>
    <col min="13576" max="13577" width="6" style="193" bestFit="1" customWidth="1"/>
    <col min="13578" max="13578" width="11.125" style="193" bestFit="1" customWidth="1"/>
    <col min="13579" max="13579" width="11.875" style="193" bestFit="1" customWidth="1"/>
    <col min="13580" max="13581" width="11.125" style="193" bestFit="1" customWidth="1"/>
    <col min="13582" max="13582" width="9.25" style="193" bestFit="1" customWidth="1"/>
    <col min="13583" max="13583" width="6" style="193" customWidth="1"/>
    <col min="13584" max="13584" width="9.25" style="193" customWidth="1"/>
    <col min="13585" max="13585" width="4" style="193" customWidth="1"/>
    <col min="13586" max="13824" width="9" style="193"/>
    <col min="13825" max="13825" width="17" style="193" customWidth="1"/>
    <col min="13826" max="13826" width="12.5" style="193" customWidth="1"/>
    <col min="13827" max="13827" width="12.5" style="193" bestFit="1" customWidth="1"/>
    <col min="13828" max="13828" width="11.625" style="193" bestFit="1" customWidth="1"/>
    <col min="13829" max="13829" width="9.25" style="193" bestFit="1" customWidth="1"/>
    <col min="13830" max="13830" width="11.875" style="193" bestFit="1" customWidth="1"/>
    <col min="13831" max="13831" width="11.125" style="193" bestFit="1" customWidth="1"/>
    <col min="13832" max="13833" width="6" style="193" bestFit="1" customWidth="1"/>
    <col min="13834" max="13834" width="11.125" style="193" bestFit="1" customWidth="1"/>
    <col min="13835" max="13835" width="11.875" style="193" bestFit="1" customWidth="1"/>
    <col min="13836" max="13837" width="11.125" style="193" bestFit="1" customWidth="1"/>
    <col min="13838" max="13838" width="9.25" style="193" bestFit="1" customWidth="1"/>
    <col min="13839" max="13839" width="6" style="193" customWidth="1"/>
    <col min="13840" max="13840" width="9.25" style="193" customWidth="1"/>
    <col min="13841" max="13841" width="4" style="193" customWidth="1"/>
    <col min="13842" max="14080" width="9" style="193"/>
    <col min="14081" max="14081" width="17" style="193" customWidth="1"/>
    <col min="14082" max="14082" width="12.5" style="193" customWidth="1"/>
    <col min="14083" max="14083" width="12.5" style="193" bestFit="1" customWidth="1"/>
    <col min="14084" max="14084" width="11.625" style="193" bestFit="1" customWidth="1"/>
    <col min="14085" max="14085" width="9.25" style="193" bestFit="1" customWidth="1"/>
    <col min="14086" max="14086" width="11.875" style="193" bestFit="1" customWidth="1"/>
    <col min="14087" max="14087" width="11.125" style="193" bestFit="1" customWidth="1"/>
    <col min="14088" max="14089" width="6" style="193" bestFit="1" customWidth="1"/>
    <col min="14090" max="14090" width="11.125" style="193" bestFit="1" customWidth="1"/>
    <col min="14091" max="14091" width="11.875" style="193" bestFit="1" customWidth="1"/>
    <col min="14092" max="14093" width="11.125" style="193" bestFit="1" customWidth="1"/>
    <col min="14094" max="14094" width="9.25" style="193" bestFit="1" customWidth="1"/>
    <col min="14095" max="14095" width="6" style="193" customWidth="1"/>
    <col min="14096" max="14096" width="9.25" style="193" customWidth="1"/>
    <col min="14097" max="14097" width="4" style="193" customWidth="1"/>
    <col min="14098" max="14336" width="9" style="193"/>
    <col min="14337" max="14337" width="17" style="193" customWidth="1"/>
    <col min="14338" max="14338" width="12.5" style="193" customWidth="1"/>
    <col min="14339" max="14339" width="12.5" style="193" bestFit="1" customWidth="1"/>
    <col min="14340" max="14340" width="11.625" style="193" bestFit="1" customWidth="1"/>
    <col min="14341" max="14341" width="9.25" style="193" bestFit="1" customWidth="1"/>
    <col min="14342" max="14342" width="11.875" style="193" bestFit="1" customWidth="1"/>
    <col min="14343" max="14343" width="11.125" style="193" bestFit="1" customWidth="1"/>
    <col min="14344" max="14345" width="6" style="193" bestFit="1" customWidth="1"/>
    <col min="14346" max="14346" width="11.125" style="193" bestFit="1" customWidth="1"/>
    <col min="14347" max="14347" width="11.875" style="193" bestFit="1" customWidth="1"/>
    <col min="14348" max="14349" width="11.125" style="193" bestFit="1" customWidth="1"/>
    <col min="14350" max="14350" width="9.25" style="193" bestFit="1" customWidth="1"/>
    <col min="14351" max="14351" width="6" style="193" customWidth="1"/>
    <col min="14352" max="14352" width="9.25" style="193" customWidth="1"/>
    <col min="14353" max="14353" width="4" style="193" customWidth="1"/>
    <col min="14354" max="14592" width="9" style="193"/>
    <col min="14593" max="14593" width="17" style="193" customWidth="1"/>
    <col min="14594" max="14594" width="12.5" style="193" customWidth="1"/>
    <col min="14595" max="14595" width="12.5" style="193" bestFit="1" customWidth="1"/>
    <col min="14596" max="14596" width="11.625" style="193" bestFit="1" customWidth="1"/>
    <col min="14597" max="14597" width="9.25" style="193" bestFit="1" customWidth="1"/>
    <col min="14598" max="14598" width="11.875" style="193" bestFit="1" customWidth="1"/>
    <col min="14599" max="14599" width="11.125" style="193" bestFit="1" customWidth="1"/>
    <col min="14600" max="14601" width="6" style="193" bestFit="1" customWidth="1"/>
    <col min="14602" max="14602" width="11.125" style="193" bestFit="1" customWidth="1"/>
    <col min="14603" max="14603" width="11.875" style="193" bestFit="1" customWidth="1"/>
    <col min="14604" max="14605" width="11.125" style="193" bestFit="1" customWidth="1"/>
    <col min="14606" max="14606" width="9.25" style="193" bestFit="1" customWidth="1"/>
    <col min="14607" max="14607" width="6" style="193" customWidth="1"/>
    <col min="14608" max="14608" width="9.25" style="193" customWidth="1"/>
    <col min="14609" max="14609" width="4" style="193" customWidth="1"/>
    <col min="14610" max="14848" width="9" style="193"/>
    <col min="14849" max="14849" width="17" style="193" customWidth="1"/>
    <col min="14850" max="14850" width="12.5" style="193" customWidth="1"/>
    <col min="14851" max="14851" width="12.5" style="193" bestFit="1" customWidth="1"/>
    <col min="14852" max="14852" width="11.625" style="193" bestFit="1" customWidth="1"/>
    <col min="14853" max="14853" width="9.25" style="193" bestFit="1" customWidth="1"/>
    <col min="14854" max="14854" width="11.875" style="193" bestFit="1" customWidth="1"/>
    <col min="14855" max="14855" width="11.125" style="193" bestFit="1" customWidth="1"/>
    <col min="14856" max="14857" width="6" style="193" bestFit="1" customWidth="1"/>
    <col min="14858" max="14858" width="11.125" style="193" bestFit="1" customWidth="1"/>
    <col min="14859" max="14859" width="11.875" style="193" bestFit="1" customWidth="1"/>
    <col min="14860" max="14861" width="11.125" style="193" bestFit="1" customWidth="1"/>
    <col min="14862" max="14862" width="9.25" style="193" bestFit="1" customWidth="1"/>
    <col min="14863" max="14863" width="6" style="193" customWidth="1"/>
    <col min="14864" max="14864" width="9.25" style="193" customWidth="1"/>
    <col min="14865" max="14865" width="4" style="193" customWidth="1"/>
    <col min="14866" max="15104" width="9" style="193"/>
    <col min="15105" max="15105" width="17" style="193" customWidth="1"/>
    <col min="15106" max="15106" width="12.5" style="193" customWidth="1"/>
    <col min="15107" max="15107" width="12.5" style="193" bestFit="1" customWidth="1"/>
    <col min="15108" max="15108" width="11.625" style="193" bestFit="1" customWidth="1"/>
    <col min="15109" max="15109" width="9.25" style="193" bestFit="1" customWidth="1"/>
    <col min="15110" max="15110" width="11.875" style="193" bestFit="1" customWidth="1"/>
    <col min="15111" max="15111" width="11.125" style="193" bestFit="1" customWidth="1"/>
    <col min="15112" max="15113" width="6" style="193" bestFit="1" customWidth="1"/>
    <col min="15114" max="15114" width="11.125" style="193" bestFit="1" customWidth="1"/>
    <col min="15115" max="15115" width="11.875" style="193" bestFit="1" customWidth="1"/>
    <col min="15116" max="15117" width="11.125" style="193" bestFit="1" customWidth="1"/>
    <col min="15118" max="15118" width="9.25" style="193" bestFit="1" customWidth="1"/>
    <col min="15119" max="15119" width="6" style="193" customWidth="1"/>
    <col min="15120" max="15120" width="9.25" style="193" customWidth="1"/>
    <col min="15121" max="15121" width="4" style="193" customWidth="1"/>
    <col min="15122" max="15360" width="9" style="193"/>
    <col min="15361" max="15361" width="17" style="193" customWidth="1"/>
    <col min="15362" max="15362" width="12.5" style="193" customWidth="1"/>
    <col min="15363" max="15363" width="12.5" style="193" bestFit="1" customWidth="1"/>
    <col min="15364" max="15364" width="11.625" style="193" bestFit="1" customWidth="1"/>
    <col min="15365" max="15365" width="9.25" style="193" bestFit="1" customWidth="1"/>
    <col min="15366" max="15366" width="11.875" style="193" bestFit="1" customWidth="1"/>
    <col min="15367" max="15367" width="11.125" style="193" bestFit="1" customWidth="1"/>
    <col min="15368" max="15369" width="6" style="193" bestFit="1" customWidth="1"/>
    <col min="15370" max="15370" width="11.125" style="193" bestFit="1" customWidth="1"/>
    <col min="15371" max="15371" width="11.875" style="193" bestFit="1" customWidth="1"/>
    <col min="15372" max="15373" width="11.125" style="193" bestFit="1" customWidth="1"/>
    <col min="15374" max="15374" width="9.25" style="193" bestFit="1" customWidth="1"/>
    <col min="15375" max="15375" width="6" style="193" customWidth="1"/>
    <col min="15376" max="15376" width="9.25" style="193" customWidth="1"/>
    <col min="15377" max="15377" width="4" style="193" customWidth="1"/>
    <col min="15378" max="15616" width="9" style="193"/>
    <col min="15617" max="15617" width="17" style="193" customWidth="1"/>
    <col min="15618" max="15618" width="12.5" style="193" customWidth="1"/>
    <col min="15619" max="15619" width="12.5" style="193" bestFit="1" customWidth="1"/>
    <col min="15620" max="15620" width="11.625" style="193" bestFit="1" customWidth="1"/>
    <col min="15621" max="15621" width="9.25" style="193" bestFit="1" customWidth="1"/>
    <col min="15622" max="15622" width="11.875" style="193" bestFit="1" customWidth="1"/>
    <col min="15623" max="15623" width="11.125" style="193" bestFit="1" customWidth="1"/>
    <col min="15624" max="15625" width="6" style="193" bestFit="1" customWidth="1"/>
    <col min="15626" max="15626" width="11.125" style="193" bestFit="1" customWidth="1"/>
    <col min="15627" max="15627" width="11.875" style="193" bestFit="1" customWidth="1"/>
    <col min="15628" max="15629" width="11.125" style="193" bestFit="1" customWidth="1"/>
    <col min="15630" max="15630" width="9.25" style="193" bestFit="1" customWidth="1"/>
    <col min="15631" max="15631" width="6" style="193" customWidth="1"/>
    <col min="15632" max="15632" width="9.25" style="193" customWidth="1"/>
    <col min="15633" max="15633" width="4" style="193" customWidth="1"/>
    <col min="15634" max="15872" width="9" style="193"/>
    <col min="15873" max="15873" width="17" style="193" customWidth="1"/>
    <col min="15874" max="15874" width="12.5" style="193" customWidth="1"/>
    <col min="15875" max="15875" width="12.5" style="193" bestFit="1" customWidth="1"/>
    <col min="15876" max="15876" width="11.625" style="193" bestFit="1" customWidth="1"/>
    <col min="15877" max="15877" width="9.25" style="193" bestFit="1" customWidth="1"/>
    <col min="15878" max="15878" width="11.875" style="193" bestFit="1" customWidth="1"/>
    <col min="15879" max="15879" width="11.125" style="193" bestFit="1" customWidth="1"/>
    <col min="15880" max="15881" width="6" style="193" bestFit="1" customWidth="1"/>
    <col min="15882" max="15882" width="11.125" style="193" bestFit="1" customWidth="1"/>
    <col min="15883" max="15883" width="11.875" style="193" bestFit="1" customWidth="1"/>
    <col min="15884" max="15885" width="11.125" style="193" bestFit="1" customWidth="1"/>
    <col min="15886" max="15886" width="9.25" style="193" bestFit="1" customWidth="1"/>
    <col min="15887" max="15887" width="6" style="193" customWidth="1"/>
    <col min="15888" max="15888" width="9.25" style="193" customWidth="1"/>
    <col min="15889" max="15889" width="4" style="193" customWidth="1"/>
    <col min="15890" max="16128" width="9" style="193"/>
    <col min="16129" max="16129" width="17" style="193" customWidth="1"/>
    <col min="16130" max="16130" width="12.5" style="193" customWidth="1"/>
    <col min="16131" max="16131" width="12.5" style="193" bestFit="1" customWidth="1"/>
    <col min="16132" max="16132" width="11.625" style="193" bestFit="1" customWidth="1"/>
    <col min="16133" max="16133" width="9.25" style="193" bestFit="1" customWidth="1"/>
    <col min="16134" max="16134" width="11.875" style="193" bestFit="1" customWidth="1"/>
    <col min="16135" max="16135" width="11.125" style="193" bestFit="1" customWidth="1"/>
    <col min="16136" max="16137" width="6" style="193" bestFit="1" customWidth="1"/>
    <col min="16138" max="16138" width="11.125" style="193" bestFit="1" customWidth="1"/>
    <col min="16139" max="16139" width="11.875" style="193" bestFit="1" customWidth="1"/>
    <col min="16140" max="16141" width="11.125" style="193" bestFit="1" customWidth="1"/>
    <col min="16142" max="16142" width="9.25" style="193" bestFit="1" customWidth="1"/>
    <col min="16143" max="16143" width="6" style="193" customWidth="1"/>
    <col min="16144" max="16144" width="9.25" style="193" customWidth="1"/>
    <col min="16145" max="16145" width="4" style="193" customWidth="1"/>
    <col min="16146" max="16384" width="9" style="193"/>
  </cols>
  <sheetData>
    <row r="1" spans="1:17" ht="36.75" customHeight="1">
      <c r="A1" s="722" t="s">
        <v>1743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</row>
    <row r="2" spans="1:17" s="203" customFormat="1" ht="18.75" customHeight="1">
      <c r="A2" s="369"/>
      <c r="B2" s="369"/>
      <c r="C2" s="369"/>
      <c r="D2" s="371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71" t="s">
        <v>1744</v>
      </c>
    </row>
    <row r="3" spans="1:17" s="204" customFormat="1" ht="18.75" customHeight="1" thickBot="1">
      <c r="A3" s="343" t="s">
        <v>1526</v>
      </c>
      <c r="B3" s="387"/>
      <c r="C3" s="387"/>
      <c r="D3" s="389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71" t="s">
        <v>1569</v>
      </c>
    </row>
    <row r="4" spans="1:17" s="265" customFormat="1" ht="52.5" customHeight="1" thickBot="1">
      <c r="A4" s="430" t="s">
        <v>1745</v>
      </c>
      <c r="B4" s="406" t="s">
        <v>1746</v>
      </c>
      <c r="C4" s="407" t="s">
        <v>1720</v>
      </c>
      <c r="D4" s="408" t="s">
        <v>1747</v>
      </c>
      <c r="E4" s="408" t="s">
        <v>1748</v>
      </c>
      <c r="F4" s="408" t="s">
        <v>1749</v>
      </c>
      <c r="G4" s="408" t="s">
        <v>1750</v>
      </c>
      <c r="H4" s="408" t="s">
        <v>1723</v>
      </c>
      <c r="I4" s="408" t="s">
        <v>1751</v>
      </c>
      <c r="J4" s="409" t="s">
        <v>1507</v>
      </c>
      <c r="K4" s="409" t="s">
        <v>1508</v>
      </c>
      <c r="L4" s="409" t="s">
        <v>1509</v>
      </c>
      <c r="M4" s="410" t="s">
        <v>1725</v>
      </c>
      <c r="N4" s="410" t="s">
        <v>1752</v>
      </c>
      <c r="O4" s="410" t="s">
        <v>1753</v>
      </c>
      <c r="P4" s="410" t="s">
        <v>1754</v>
      </c>
      <c r="Q4" s="411" t="s">
        <v>1729</v>
      </c>
    </row>
    <row r="5" spans="1:17" s="265" customFormat="1" ht="36" customHeight="1">
      <c r="A5" s="431" t="s">
        <v>1755</v>
      </c>
      <c r="B5" s="432">
        <f>SUM(C5:Q5)</f>
        <v>290763802429.82996</v>
      </c>
      <c r="C5" s="266">
        <v>225389758407.35999</v>
      </c>
      <c r="D5" s="223"/>
      <c r="E5" s="223">
        <v>40955149.070000008</v>
      </c>
      <c r="F5" s="223">
        <v>44437783651.439995</v>
      </c>
      <c r="G5" s="223">
        <v>1095436275.26</v>
      </c>
      <c r="H5" s="223">
        <v>0</v>
      </c>
      <c r="I5" s="223"/>
      <c r="J5" s="223">
        <v>4520611836.7200003</v>
      </c>
      <c r="K5" s="223">
        <v>11785984158.48</v>
      </c>
      <c r="L5" s="223">
        <v>2987509005.0700002</v>
      </c>
      <c r="M5" s="223">
        <v>505763946.43000007</v>
      </c>
      <c r="N5" s="223"/>
      <c r="O5" s="223"/>
      <c r="P5" s="223"/>
      <c r="Q5" s="224"/>
    </row>
    <row r="6" spans="1:17" s="265" customFormat="1" ht="36" customHeight="1">
      <c r="A6" s="433" t="s">
        <v>1756</v>
      </c>
      <c r="B6" s="434">
        <f>SUM(C6:Q6)</f>
        <v>101946415522.15001</v>
      </c>
      <c r="C6" s="267">
        <v>69846066217.270004</v>
      </c>
      <c r="D6" s="226"/>
      <c r="E6" s="226">
        <v>28606907.73</v>
      </c>
      <c r="F6" s="226">
        <v>19063339417.029999</v>
      </c>
      <c r="G6" s="226">
        <v>1676918274.96</v>
      </c>
      <c r="H6" s="226"/>
      <c r="I6" s="226"/>
      <c r="J6" s="226">
        <v>1684883737.8399999</v>
      </c>
      <c r="K6" s="226">
        <v>5942495004.3800001</v>
      </c>
      <c r="L6" s="226">
        <v>3239104772.02</v>
      </c>
      <c r="M6" s="226">
        <v>407317190.91999996</v>
      </c>
      <c r="N6" s="226">
        <v>47340000</v>
      </c>
      <c r="O6" s="226"/>
      <c r="P6" s="226">
        <v>10344000</v>
      </c>
      <c r="Q6" s="227"/>
    </row>
    <row r="7" spans="1:17" s="265" customFormat="1" ht="36" customHeight="1">
      <c r="A7" s="435" t="s">
        <v>1757</v>
      </c>
      <c r="B7" s="434">
        <f>SUM(C7:L7)+Q7</f>
        <v>90831970962.069992</v>
      </c>
      <c r="C7" s="267">
        <v>61630472235.160004</v>
      </c>
      <c r="D7" s="226"/>
      <c r="E7" s="226">
        <v>3609948.62</v>
      </c>
      <c r="F7" s="226">
        <v>18427867029.629997</v>
      </c>
      <c r="G7" s="226">
        <v>1054415297.62</v>
      </c>
      <c r="H7" s="226"/>
      <c r="I7" s="226"/>
      <c r="J7" s="226">
        <v>1273414166.8</v>
      </c>
      <c r="K7" s="226">
        <v>5762942209.8400002</v>
      </c>
      <c r="L7" s="226">
        <v>2679250074.4000001</v>
      </c>
      <c r="M7" s="268" t="s">
        <v>1542</v>
      </c>
      <c r="N7" s="268" t="s">
        <v>1541</v>
      </c>
      <c r="O7" s="268" t="s">
        <v>1541</v>
      </c>
      <c r="P7" s="268" t="s">
        <v>1541</v>
      </c>
      <c r="Q7" s="227"/>
    </row>
    <row r="8" spans="1:17" s="265" customFormat="1" ht="36" customHeight="1">
      <c r="A8" s="435" t="s">
        <v>1758</v>
      </c>
      <c r="B8" s="434">
        <f>SUM(C8:L8)+Q8</f>
        <v>0</v>
      </c>
      <c r="C8" s="267"/>
      <c r="D8" s="226"/>
      <c r="E8" s="226"/>
      <c r="F8" s="226"/>
      <c r="G8" s="226">
        <v>0</v>
      </c>
      <c r="H8" s="226"/>
      <c r="I8" s="226"/>
      <c r="J8" s="226">
        <v>0</v>
      </c>
      <c r="K8" s="226"/>
      <c r="L8" s="226"/>
      <c r="M8" s="268" t="s">
        <v>1542</v>
      </c>
      <c r="N8" s="268" t="s">
        <v>1541</v>
      </c>
      <c r="O8" s="268" t="s">
        <v>1541</v>
      </c>
      <c r="P8" s="268" t="s">
        <v>1541</v>
      </c>
      <c r="Q8" s="227"/>
    </row>
    <row r="9" spans="1:17" s="265" customFormat="1" ht="36" customHeight="1">
      <c r="A9" s="435" t="s">
        <v>1759</v>
      </c>
      <c r="B9" s="434">
        <f t="shared" ref="B9:B14" si="0">SUM(C9:Q9)</f>
        <v>1071174032.0599999</v>
      </c>
      <c r="C9" s="267"/>
      <c r="D9" s="226"/>
      <c r="E9" s="226">
        <v>23402078.390000001</v>
      </c>
      <c r="F9" s="226"/>
      <c r="G9" s="226">
        <v>583413254.52999997</v>
      </c>
      <c r="H9" s="226"/>
      <c r="I9" s="226"/>
      <c r="J9" s="226">
        <v>0</v>
      </c>
      <c r="K9" s="226"/>
      <c r="L9" s="226"/>
      <c r="M9" s="226">
        <v>406674699.13999999</v>
      </c>
      <c r="N9" s="226">
        <v>47340000</v>
      </c>
      <c r="O9" s="226"/>
      <c r="P9" s="226">
        <v>10344000</v>
      </c>
      <c r="Q9" s="227"/>
    </row>
    <row r="10" spans="1:17" s="265" customFormat="1" ht="36" customHeight="1">
      <c r="A10" s="435" t="s">
        <v>1760</v>
      </c>
      <c r="B10" s="434">
        <f t="shared" si="0"/>
        <v>9470121902.1499996</v>
      </c>
      <c r="C10" s="267">
        <v>8155809597.79</v>
      </c>
      <c r="D10" s="226"/>
      <c r="E10" s="226">
        <v>1528213.55</v>
      </c>
      <c r="F10" s="226">
        <v>595725578.97000003</v>
      </c>
      <c r="G10" s="226">
        <v>34235216.5</v>
      </c>
      <c r="H10" s="226"/>
      <c r="I10" s="226"/>
      <c r="J10" s="226">
        <v>397209365.94</v>
      </c>
      <c r="K10" s="226">
        <v>173547306.97</v>
      </c>
      <c r="L10" s="226">
        <v>111424130.65000001</v>
      </c>
      <c r="M10" s="226">
        <v>642491.78</v>
      </c>
      <c r="N10" s="226">
        <v>0</v>
      </c>
      <c r="O10" s="226">
        <v>0</v>
      </c>
      <c r="P10" s="226"/>
      <c r="Q10" s="227"/>
    </row>
    <row r="11" spans="1:17" s="265" customFormat="1" ht="36" customHeight="1">
      <c r="A11" s="433" t="s">
        <v>1761</v>
      </c>
      <c r="B11" s="434">
        <f t="shared" si="0"/>
        <v>34725665842.190002</v>
      </c>
      <c r="C11" s="267">
        <v>17567068700</v>
      </c>
      <c r="D11" s="226"/>
      <c r="E11" s="226">
        <v>31390000</v>
      </c>
      <c r="F11" s="226">
        <v>11664790000</v>
      </c>
      <c r="G11" s="226">
        <v>1588840000</v>
      </c>
      <c r="H11" s="226"/>
      <c r="I11" s="226"/>
      <c r="J11" s="226">
        <v>1079041000</v>
      </c>
      <c r="K11" s="226">
        <v>670337900</v>
      </c>
      <c r="L11" s="226">
        <v>1177970000</v>
      </c>
      <c r="M11" s="226">
        <v>888544242.18999994</v>
      </c>
      <c r="N11" s="226">
        <v>47340000</v>
      </c>
      <c r="O11" s="226"/>
      <c r="P11" s="226">
        <v>10344000</v>
      </c>
      <c r="Q11" s="227"/>
    </row>
    <row r="12" spans="1:17" s="265" customFormat="1" ht="36" customHeight="1">
      <c r="A12" s="435" t="s">
        <v>1762</v>
      </c>
      <c r="B12" s="434">
        <f t="shared" si="0"/>
        <v>30711110000</v>
      </c>
      <c r="C12" s="267">
        <v>14721320000</v>
      </c>
      <c r="D12" s="226"/>
      <c r="E12" s="226">
        <v>31390000</v>
      </c>
      <c r="F12" s="226">
        <v>11664790000</v>
      </c>
      <c r="G12" s="226">
        <v>1588840000</v>
      </c>
      <c r="H12" s="226"/>
      <c r="I12" s="226"/>
      <c r="J12" s="226">
        <v>1016540000</v>
      </c>
      <c r="K12" s="226">
        <v>510260000</v>
      </c>
      <c r="L12" s="226">
        <v>1177970000</v>
      </c>
      <c r="M12" s="226">
        <v>0</v>
      </c>
      <c r="N12" s="226"/>
      <c r="O12" s="226"/>
      <c r="P12" s="226"/>
      <c r="Q12" s="227"/>
    </row>
    <row r="13" spans="1:17" s="265" customFormat="1" ht="36" customHeight="1">
      <c r="A13" s="433" t="s">
        <v>1763</v>
      </c>
      <c r="B13" s="434">
        <f t="shared" si="0"/>
        <v>67220749679.959999</v>
      </c>
      <c r="C13" s="267">
        <f t="shared" ref="C13:Q13" si="1">C6-C11</f>
        <v>52278997517.270004</v>
      </c>
      <c r="D13" s="226">
        <f t="shared" si="1"/>
        <v>0</v>
      </c>
      <c r="E13" s="226">
        <f t="shared" si="1"/>
        <v>-2783092.2699999996</v>
      </c>
      <c r="F13" s="226">
        <f t="shared" si="1"/>
        <v>7398549417.0299988</v>
      </c>
      <c r="G13" s="226">
        <f t="shared" si="1"/>
        <v>88078274.960000038</v>
      </c>
      <c r="H13" s="226">
        <f t="shared" si="1"/>
        <v>0</v>
      </c>
      <c r="I13" s="226">
        <f t="shared" si="1"/>
        <v>0</v>
      </c>
      <c r="J13" s="226">
        <f t="shared" si="1"/>
        <v>605842737.83999991</v>
      </c>
      <c r="K13" s="226">
        <f t="shared" si="1"/>
        <v>5272157104.3800001</v>
      </c>
      <c r="L13" s="226">
        <f t="shared" si="1"/>
        <v>2061134772.02</v>
      </c>
      <c r="M13" s="226">
        <f t="shared" si="1"/>
        <v>-481227051.26999998</v>
      </c>
      <c r="N13" s="226">
        <f t="shared" si="1"/>
        <v>0</v>
      </c>
      <c r="O13" s="226">
        <f t="shared" si="1"/>
        <v>0</v>
      </c>
      <c r="P13" s="226">
        <f t="shared" si="1"/>
        <v>0</v>
      </c>
      <c r="Q13" s="227">
        <f t="shared" si="1"/>
        <v>0</v>
      </c>
    </row>
    <row r="14" spans="1:17" s="265" customFormat="1" ht="36" customHeight="1" thickBot="1">
      <c r="A14" s="436" t="s">
        <v>1764</v>
      </c>
      <c r="B14" s="437">
        <f t="shared" si="0"/>
        <v>357984552109.78992</v>
      </c>
      <c r="C14" s="438">
        <f t="shared" ref="C14:Q14" si="2">C5+C13</f>
        <v>277668755924.63</v>
      </c>
      <c r="D14" s="439">
        <f t="shared" si="2"/>
        <v>0</v>
      </c>
      <c r="E14" s="439">
        <f t="shared" si="2"/>
        <v>38172056.800000012</v>
      </c>
      <c r="F14" s="439">
        <f t="shared" si="2"/>
        <v>51836333068.469994</v>
      </c>
      <c r="G14" s="439">
        <f t="shared" si="2"/>
        <v>1183514550.22</v>
      </c>
      <c r="H14" s="439">
        <f t="shared" si="2"/>
        <v>0</v>
      </c>
      <c r="I14" s="439">
        <f t="shared" si="2"/>
        <v>0</v>
      </c>
      <c r="J14" s="439">
        <f t="shared" si="2"/>
        <v>5126454574.5600004</v>
      </c>
      <c r="K14" s="439">
        <f t="shared" si="2"/>
        <v>17058141262.860001</v>
      </c>
      <c r="L14" s="439">
        <f t="shared" si="2"/>
        <v>5048643777.0900002</v>
      </c>
      <c r="M14" s="439">
        <f t="shared" si="2"/>
        <v>24536895.160000086</v>
      </c>
      <c r="N14" s="439">
        <f t="shared" si="2"/>
        <v>0</v>
      </c>
      <c r="O14" s="439">
        <f t="shared" si="2"/>
        <v>0</v>
      </c>
      <c r="P14" s="439">
        <f t="shared" si="2"/>
        <v>0</v>
      </c>
      <c r="Q14" s="440">
        <f t="shared" si="2"/>
        <v>0</v>
      </c>
    </row>
  </sheetData>
  <mergeCells count="1">
    <mergeCell ref="A1:Q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scale="79" orientation="landscape" errors="blank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A3" sqref="A1:XFD1048576"/>
    </sheetView>
  </sheetViews>
  <sheetFormatPr defaultRowHeight="14.25" customHeight="1"/>
  <cols>
    <col min="1" max="1" width="18.125" style="368" customWidth="1"/>
    <col min="2" max="2" width="12.75" style="368" customWidth="1"/>
    <col min="3" max="3" width="12.125" style="368" bestFit="1" customWidth="1"/>
    <col min="4" max="4" width="14.125" style="368" bestFit="1" customWidth="1"/>
    <col min="5" max="6" width="12.125" style="368" bestFit="1" customWidth="1"/>
    <col min="7" max="7" width="12.375" style="368" customWidth="1"/>
    <col min="8" max="10" width="8.375" style="368" customWidth="1"/>
    <col min="11" max="11" width="6.375" style="368" customWidth="1"/>
    <col min="12" max="12" width="8.375" style="368" customWidth="1"/>
    <col min="13" max="256" width="9" style="368"/>
    <col min="257" max="257" width="18.125" style="368" customWidth="1"/>
    <col min="258" max="258" width="12.75" style="368" customWidth="1"/>
    <col min="259" max="259" width="12.125" style="368" bestFit="1" customWidth="1"/>
    <col min="260" max="260" width="14.125" style="368" bestFit="1" customWidth="1"/>
    <col min="261" max="262" width="12.125" style="368" bestFit="1" customWidth="1"/>
    <col min="263" max="263" width="12.375" style="368" customWidth="1"/>
    <col min="264" max="266" width="8.375" style="368" customWidth="1"/>
    <col min="267" max="267" width="6.375" style="368" customWidth="1"/>
    <col min="268" max="268" width="8.375" style="368" customWidth="1"/>
    <col min="269" max="512" width="9" style="368"/>
    <col min="513" max="513" width="18.125" style="368" customWidth="1"/>
    <col min="514" max="514" width="12.75" style="368" customWidth="1"/>
    <col min="515" max="515" width="12.125" style="368" bestFit="1" customWidth="1"/>
    <col min="516" max="516" width="14.125" style="368" bestFit="1" customWidth="1"/>
    <col min="517" max="518" width="12.125" style="368" bestFit="1" customWidth="1"/>
    <col min="519" max="519" width="12.375" style="368" customWidth="1"/>
    <col min="520" max="522" width="8.375" style="368" customWidth="1"/>
    <col min="523" max="523" width="6.375" style="368" customWidth="1"/>
    <col min="524" max="524" width="8.375" style="368" customWidth="1"/>
    <col min="525" max="768" width="9" style="368"/>
    <col min="769" max="769" width="18.125" style="368" customWidth="1"/>
    <col min="770" max="770" width="12.75" style="368" customWidth="1"/>
    <col min="771" max="771" width="12.125" style="368" bestFit="1" customWidth="1"/>
    <col min="772" max="772" width="14.125" style="368" bestFit="1" customWidth="1"/>
    <col min="773" max="774" width="12.125" style="368" bestFit="1" customWidth="1"/>
    <col min="775" max="775" width="12.375" style="368" customWidth="1"/>
    <col min="776" max="778" width="8.375" style="368" customWidth="1"/>
    <col min="779" max="779" width="6.375" style="368" customWidth="1"/>
    <col min="780" max="780" width="8.375" style="368" customWidth="1"/>
    <col min="781" max="1024" width="9" style="368"/>
    <col min="1025" max="1025" width="18.125" style="368" customWidth="1"/>
    <col min="1026" max="1026" width="12.75" style="368" customWidth="1"/>
    <col min="1027" max="1027" width="12.125" style="368" bestFit="1" customWidth="1"/>
    <col min="1028" max="1028" width="14.125" style="368" bestFit="1" customWidth="1"/>
    <col min="1029" max="1030" width="12.125" style="368" bestFit="1" customWidth="1"/>
    <col min="1031" max="1031" width="12.375" style="368" customWidth="1"/>
    <col min="1032" max="1034" width="8.375" style="368" customWidth="1"/>
    <col min="1035" max="1035" width="6.375" style="368" customWidth="1"/>
    <col min="1036" max="1036" width="8.375" style="368" customWidth="1"/>
    <col min="1037" max="1280" width="9" style="368"/>
    <col min="1281" max="1281" width="18.125" style="368" customWidth="1"/>
    <col min="1282" max="1282" width="12.75" style="368" customWidth="1"/>
    <col min="1283" max="1283" width="12.125" style="368" bestFit="1" customWidth="1"/>
    <col min="1284" max="1284" width="14.125" style="368" bestFit="1" customWidth="1"/>
    <col min="1285" max="1286" width="12.125" style="368" bestFit="1" customWidth="1"/>
    <col min="1287" max="1287" width="12.375" style="368" customWidth="1"/>
    <col min="1288" max="1290" width="8.375" style="368" customWidth="1"/>
    <col min="1291" max="1291" width="6.375" style="368" customWidth="1"/>
    <col min="1292" max="1292" width="8.375" style="368" customWidth="1"/>
    <col min="1293" max="1536" width="9" style="368"/>
    <col min="1537" max="1537" width="18.125" style="368" customWidth="1"/>
    <col min="1538" max="1538" width="12.75" style="368" customWidth="1"/>
    <col min="1539" max="1539" width="12.125" style="368" bestFit="1" customWidth="1"/>
    <col min="1540" max="1540" width="14.125" style="368" bestFit="1" customWidth="1"/>
    <col min="1541" max="1542" width="12.125" style="368" bestFit="1" customWidth="1"/>
    <col min="1543" max="1543" width="12.375" style="368" customWidth="1"/>
    <col min="1544" max="1546" width="8.375" style="368" customWidth="1"/>
    <col min="1547" max="1547" width="6.375" style="368" customWidth="1"/>
    <col min="1548" max="1548" width="8.375" style="368" customWidth="1"/>
    <col min="1549" max="1792" width="9" style="368"/>
    <col min="1793" max="1793" width="18.125" style="368" customWidth="1"/>
    <col min="1794" max="1794" width="12.75" style="368" customWidth="1"/>
    <col min="1795" max="1795" width="12.125" style="368" bestFit="1" customWidth="1"/>
    <col min="1796" max="1796" width="14.125" style="368" bestFit="1" customWidth="1"/>
    <col min="1797" max="1798" width="12.125" style="368" bestFit="1" customWidth="1"/>
    <col min="1799" max="1799" width="12.375" style="368" customWidth="1"/>
    <col min="1800" max="1802" width="8.375" style="368" customWidth="1"/>
    <col min="1803" max="1803" width="6.375" style="368" customWidth="1"/>
    <col min="1804" max="1804" width="8.375" style="368" customWidth="1"/>
    <col min="1805" max="2048" width="9" style="368"/>
    <col min="2049" max="2049" width="18.125" style="368" customWidth="1"/>
    <col min="2050" max="2050" width="12.75" style="368" customWidth="1"/>
    <col min="2051" max="2051" width="12.125" style="368" bestFit="1" customWidth="1"/>
    <col min="2052" max="2052" width="14.125" style="368" bestFit="1" customWidth="1"/>
    <col min="2053" max="2054" width="12.125" style="368" bestFit="1" customWidth="1"/>
    <col min="2055" max="2055" width="12.375" style="368" customWidth="1"/>
    <col min="2056" max="2058" width="8.375" style="368" customWidth="1"/>
    <col min="2059" max="2059" width="6.375" style="368" customWidth="1"/>
    <col min="2060" max="2060" width="8.375" style="368" customWidth="1"/>
    <col min="2061" max="2304" width="9" style="368"/>
    <col min="2305" max="2305" width="18.125" style="368" customWidth="1"/>
    <col min="2306" max="2306" width="12.75" style="368" customWidth="1"/>
    <col min="2307" max="2307" width="12.125" style="368" bestFit="1" customWidth="1"/>
    <col min="2308" max="2308" width="14.125" style="368" bestFit="1" customWidth="1"/>
    <col min="2309" max="2310" width="12.125" style="368" bestFit="1" customWidth="1"/>
    <col min="2311" max="2311" width="12.375" style="368" customWidth="1"/>
    <col min="2312" max="2314" width="8.375" style="368" customWidth="1"/>
    <col min="2315" max="2315" width="6.375" style="368" customWidth="1"/>
    <col min="2316" max="2316" width="8.375" style="368" customWidth="1"/>
    <col min="2317" max="2560" width="9" style="368"/>
    <col min="2561" max="2561" width="18.125" style="368" customWidth="1"/>
    <col min="2562" max="2562" width="12.75" style="368" customWidth="1"/>
    <col min="2563" max="2563" width="12.125" style="368" bestFit="1" customWidth="1"/>
    <col min="2564" max="2564" width="14.125" style="368" bestFit="1" customWidth="1"/>
    <col min="2565" max="2566" width="12.125" style="368" bestFit="1" customWidth="1"/>
    <col min="2567" max="2567" width="12.375" style="368" customWidth="1"/>
    <col min="2568" max="2570" width="8.375" style="368" customWidth="1"/>
    <col min="2571" max="2571" width="6.375" style="368" customWidth="1"/>
    <col min="2572" max="2572" width="8.375" style="368" customWidth="1"/>
    <col min="2573" max="2816" width="9" style="368"/>
    <col min="2817" max="2817" width="18.125" style="368" customWidth="1"/>
    <col min="2818" max="2818" width="12.75" style="368" customWidth="1"/>
    <col min="2819" max="2819" width="12.125" style="368" bestFit="1" customWidth="1"/>
    <col min="2820" max="2820" width="14.125" style="368" bestFit="1" customWidth="1"/>
    <col min="2821" max="2822" width="12.125" style="368" bestFit="1" customWidth="1"/>
    <col min="2823" max="2823" width="12.375" style="368" customWidth="1"/>
    <col min="2824" max="2826" width="8.375" style="368" customWidth="1"/>
    <col min="2827" max="2827" width="6.375" style="368" customWidth="1"/>
    <col min="2828" max="2828" width="8.375" style="368" customWidth="1"/>
    <col min="2829" max="3072" width="9" style="368"/>
    <col min="3073" max="3073" width="18.125" style="368" customWidth="1"/>
    <col min="3074" max="3074" width="12.75" style="368" customWidth="1"/>
    <col min="3075" max="3075" width="12.125" style="368" bestFit="1" customWidth="1"/>
    <col min="3076" max="3076" width="14.125" style="368" bestFit="1" customWidth="1"/>
    <col min="3077" max="3078" width="12.125" style="368" bestFit="1" customWidth="1"/>
    <col min="3079" max="3079" width="12.375" style="368" customWidth="1"/>
    <col min="3080" max="3082" width="8.375" style="368" customWidth="1"/>
    <col min="3083" max="3083" width="6.375" style="368" customWidth="1"/>
    <col min="3084" max="3084" width="8.375" style="368" customWidth="1"/>
    <col min="3085" max="3328" width="9" style="368"/>
    <col min="3329" max="3329" width="18.125" style="368" customWidth="1"/>
    <col min="3330" max="3330" width="12.75" style="368" customWidth="1"/>
    <col min="3331" max="3331" width="12.125" style="368" bestFit="1" customWidth="1"/>
    <col min="3332" max="3332" width="14.125" style="368" bestFit="1" customWidth="1"/>
    <col min="3333" max="3334" width="12.125" style="368" bestFit="1" customWidth="1"/>
    <col min="3335" max="3335" width="12.375" style="368" customWidth="1"/>
    <col min="3336" max="3338" width="8.375" style="368" customWidth="1"/>
    <col min="3339" max="3339" width="6.375" style="368" customWidth="1"/>
    <col min="3340" max="3340" width="8.375" style="368" customWidth="1"/>
    <col min="3341" max="3584" width="9" style="368"/>
    <col min="3585" max="3585" width="18.125" style="368" customWidth="1"/>
    <col min="3586" max="3586" width="12.75" style="368" customWidth="1"/>
    <col min="3587" max="3587" width="12.125" style="368" bestFit="1" customWidth="1"/>
    <col min="3588" max="3588" width="14.125" style="368" bestFit="1" customWidth="1"/>
    <col min="3589" max="3590" width="12.125" style="368" bestFit="1" customWidth="1"/>
    <col min="3591" max="3591" width="12.375" style="368" customWidth="1"/>
    <col min="3592" max="3594" width="8.375" style="368" customWidth="1"/>
    <col min="3595" max="3595" width="6.375" style="368" customWidth="1"/>
    <col min="3596" max="3596" width="8.375" style="368" customWidth="1"/>
    <col min="3597" max="3840" width="9" style="368"/>
    <col min="3841" max="3841" width="18.125" style="368" customWidth="1"/>
    <col min="3842" max="3842" width="12.75" style="368" customWidth="1"/>
    <col min="3843" max="3843" width="12.125" style="368" bestFit="1" customWidth="1"/>
    <col min="3844" max="3844" width="14.125" style="368" bestFit="1" customWidth="1"/>
    <col min="3845" max="3846" width="12.125" style="368" bestFit="1" customWidth="1"/>
    <col min="3847" max="3847" width="12.375" style="368" customWidth="1"/>
    <col min="3848" max="3850" width="8.375" style="368" customWidth="1"/>
    <col min="3851" max="3851" width="6.375" style="368" customWidth="1"/>
    <col min="3852" max="3852" width="8.375" style="368" customWidth="1"/>
    <col min="3853" max="4096" width="9" style="368"/>
    <col min="4097" max="4097" width="18.125" style="368" customWidth="1"/>
    <col min="4098" max="4098" width="12.75" style="368" customWidth="1"/>
    <col min="4099" max="4099" width="12.125" style="368" bestFit="1" customWidth="1"/>
    <col min="4100" max="4100" width="14.125" style="368" bestFit="1" customWidth="1"/>
    <col min="4101" max="4102" width="12.125" style="368" bestFit="1" customWidth="1"/>
    <col min="4103" max="4103" width="12.375" style="368" customWidth="1"/>
    <col min="4104" max="4106" width="8.375" style="368" customWidth="1"/>
    <col min="4107" max="4107" width="6.375" style="368" customWidth="1"/>
    <col min="4108" max="4108" width="8.375" style="368" customWidth="1"/>
    <col min="4109" max="4352" width="9" style="368"/>
    <col min="4353" max="4353" width="18.125" style="368" customWidth="1"/>
    <col min="4354" max="4354" width="12.75" style="368" customWidth="1"/>
    <col min="4355" max="4355" width="12.125" style="368" bestFit="1" customWidth="1"/>
    <col min="4356" max="4356" width="14.125" style="368" bestFit="1" customWidth="1"/>
    <col min="4357" max="4358" width="12.125" style="368" bestFit="1" customWidth="1"/>
    <col min="4359" max="4359" width="12.375" style="368" customWidth="1"/>
    <col min="4360" max="4362" width="8.375" style="368" customWidth="1"/>
    <col min="4363" max="4363" width="6.375" style="368" customWidth="1"/>
    <col min="4364" max="4364" width="8.375" style="368" customWidth="1"/>
    <col min="4365" max="4608" width="9" style="368"/>
    <col min="4609" max="4609" width="18.125" style="368" customWidth="1"/>
    <col min="4610" max="4610" width="12.75" style="368" customWidth="1"/>
    <col min="4611" max="4611" width="12.125" style="368" bestFit="1" customWidth="1"/>
    <col min="4612" max="4612" width="14.125" style="368" bestFit="1" customWidth="1"/>
    <col min="4613" max="4614" width="12.125" style="368" bestFit="1" customWidth="1"/>
    <col min="4615" max="4615" width="12.375" style="368" customWidth="1"/>
    <col min="4616" max="4618" width="8.375" style="368" customWidth="1"/>
    <col min="4619" max="4619" width="6.375" style="368" customWidth="1"/>
    <col min="4620" max="4620" width="8.375" style="368" customWidth="1"/>
    <col min="4621" max="4864" width="9" style="368"/>
    <col min="4865" max="4865" width="18.125" style="368" customWidth="1"/>
    <col min="4866" max="4866" width="12.75" style="368" customWidth="1"/>
    <col min="4867" max="4867" width="12.125" style="368" bestFit="1" customWidth="1"/>
    <col min="4868" max="4868" width="14.125" style="368" bestFit="1" customWidth="1"/>
    <col min="4869" max="4870" width="12.125" style="368" bestFit="1" customWidth="1"/>
    <col min="4871" max="4871" width="12.375" style="368" customWidth="1"/>
    <col min="4872" max="4874" width="8.375" style="368" customWidth="1"/>
    <col min="4875" max="4875" width="6.375" style="368" customWidth="1"/>
    <col min="4876" max="4876" width="8.375" style="368" customWidth="1"/>
    <col min="4877" max="5120" width="9" style="368"/>
    <col min="5121" max="5121" width="18.125" style="368" customWidth="1"/>
    <col min="5122" max="5122" width="12.75" style="368" customWidth="1"/>
    <col min="5123" max="5123" width="12.125" style="368" bestFit="1" customWidth="1"/>
    <col min="5124" max="5124" width="14.125" style="368" bestFit="1" customWidth="1"/>
    <col min="5125" max="5126" width="12.125" style="368" bestFit="1" customWidth="1"/>
    <col min="5127" max="5127" width="12.375" style="368" customWidth="1"/>
    <col min="5128" max="5130" width="8.375" style="368" customWidth="1"/>
    <col min="5131" max="5131" width="6.375" style="368" customWidth="1"/>
    <col min="5132" max="5132" width="8.375" style="368" customWidth="1"/>
    <col min="5133" max="5376" width="9" style="368"/>
    <col min="5377" max="5377" width="18.125" style="368" customWidth="1"/>
    <col min="5378" max="5378" width="12.75" style="368" customWidth="1"/>
    <col min="5379" max="5379" width="12.125" style="368" bestFit="1" customWidth="1"/>
    <col min="5380" max="5380" width="14.125" style="368" bestFit="1" customWidth="1"/>
    <col min="5381" max="5382" width="12.125" style="368" bestFit="1" customWidth="1"/>
    <col min="5383" max="5383" width="12.375" style="368" customWidth="1"/>
    <col min="5384" max="5386" width="8.375" style="368" customWidth="1"/>
    <col min="5387" max="5387" width="6.375" style="368" customWidth="1"/>
    <col min="5388" max="5388" width="8.375" style="368" customWidth="1"/>
    <col min="5389" max="5632" width="9" style="368"/>
    <col min="5633" max="5633" width="18.125" style="368" customWidth="1"/>
    <col min="5634" max="5634" width="12.75" style="368" customWidth="1"/>
    <col min="5635" max="5635" width="12.125" style="368" bestFit="1" customWidth="1"/>
    <col min="5636" max="5636" width="14.125" style="368" bestFit="1" customWidth="1"/>
    <col min="5637" max="5638" width="12.125" style="368" bestFit="1" customWidth="1"/>
    <col min="5639" max="5639" width="12.375" style="368" customWidth="1"/>
    <col min="5640" max="5642" width="8.375" style="368" customWidth="1"/>
    <col min="5643" max="5643" width="6.375" style="368" customWidth="1"/>
    <col min="5644" max="5644" width="8.375" style="368" customWidth="1"/>
    <col min="5645" max="5888" width="9" style="368"/>
    <col min="5889" max="5889" width="18.125" style="368" customWidth="1"/>
    <col min="5890" max="5890" width="12.75" style="368" customWidth="1"/>
    <col min="5891" max="5891" width="12.125" style="368" bestFit="1" customWidth="1"/>
    <col min="5892" max="5892" width="14.125" style="368" bestFit="1" customWidth="1"/>
    <col min="5893" max="5894" width="12.125" style="368" bestFit="1" customWidth="1"/>
    <col min="5895" max="5895" width="12.375" style="368" customWidth="1"/>
    <col min="5896" max="5898" width="8.375" style="368" customWidth="1"/>
    <col min="5899" max="5899" width="6.375" style="368" customWidth="1"/>
    <col min="5900" max="5900" width="8.375" style="368" customWidth="1"/>
    <col min="5901" max="6144" width="9" style="368"/>
    <col min="6145" max="6145" width="18.125" style="368" customWidth="1"/>
    <col min="6146" max="6146" width="12.75" style="368" customWidth="1"/>
    <col min="6147" max="6147" width="12.125" style="368" bestFit="1" customWidth="1"/>
    <col min="6148" max="6148" width="14.125" style="368" bestFit="1" customWidth="1"/>
    <col min="6149" max="6150" width="12.125" style="368" bestFit="1" customWidth="1"/>
    <col min="6151" max="6151" width="12.375" style="368" customWidth="1"/>
    <col min="6152" max="6154" width="8.375" style="368" customWidth="1"/>
    <col min="6155" max="6155" width="6.375" style="368" customWidth="1"/>
    <col min="6156" max="6156" width="8.375" style="368" customWidth="1"/>
    <col min="6157" max="6400" width="9" style="368"/>
    <col min="6401" max="6401" width="18.125" style="368" customWidth="1"/>
    <col min="6402" max="6402" width="12.75" style="368" customWidth="1"/>
    <col min="6403" max="6403" width="12.125" style="368" bestFit="1" customWidth="1"/>
    <col min="6404" max="6404" width="14.125" style="368" bestFit="1" customWidth="1"/>
    <col min="6405" max="6406" width="12.125" style="368" bestFit="1" customWidth="1"/>
    <col min="6407" max="6407" width="12.375" style="368" customWidth="1"/>
    <col min="6408" max="6410" width="8.375" style="368" customWidth="1"/>
    <col min="6411" max="6411" width="6.375" style="368" customWidth="1"/>
    <col min="6412" max="6412" width="8.375" style="368" customWidth="1"/>
    <col min="6413" max="6656" width="9" style="368"/>
    <col min="6657" max="6657" width="18.125" style="368" customWidth="1"/>
    <col min="6658" max="6658" width="12.75" style="368" customWidth="1"/>
    <col min="6659" max="6659" width="12.125" style="368" bestFit="1" customWidth="1"/>
    <col min="6660" max="6660" width="14.125" style="368" bestFit="1" customWidth="1"/>
    <col min="6661" max="6662" width="12.125" style="368" bestFit="1" customWidth="1"/>
    <col min="6663" max="6663" width="12.375" style="368" customWidth="1"/>
    <col min="6664" max="6666" width="8.375" style="368" customWidth="1"/>
    <col min="6667" max="6667" width="6.375" style="368" customWidth="1"/>
    <col min="6668" max="6668" width="8.375" style="368" customWidth="1"/>
    <col min="6669" max="6912" width="9" style="368"/>
    <col min="6913" max="6913" width="18.125" style="368" customWidth="1"/>
    <col min="6914" max="6914" width="12.75" style="368" customWidth="1"/>
    <col min="6915" max="6915" width="12.125" style="368" bestFit="1" customWidth="1"/>
    <col min="6916" max="6916" width="14.125" style="368" bestFit="1" customWidth="1"/>
    <col min="6917" max="6918" width="12.125" style="368" bestFit="1" customWidth="1"/>
    <col min="6919" max="6919" width="12.375" style="368" customWidth="1"/>
    <col min="6920" max="6922" width="8.375" style="368" customWidth="1"/>
    <col min="6923" max="6923" width="6.375" style="368" customWidth="1"/>
    <col min="6924" max="6924" width="8.375" style="368" customWidth="1"/>
    <col min="6925" max="7168" width="9" style="368"/>
    <col min="7169" max="7169" width="18.125" style="368" customWidth="1"/>
    <col min="7170" max="7170" width="12.75" style="368" customWidth="1"/>
    <col min="7171" max="7171" width="12.125" style="368" bestFit="1" customWidth="1"/>
    <col min="7172" max="7172" width="14.125" style="368" bestFit="1" customWidth="1"/>
    <col min="7173" max="7174" width="12.125" style="368" bestFit="1" customWidth="1"/>
    <col min="7175" max="7175" width="12.375" style="368" customWidth="1"/>
    <col min="7176" max="7178" width="8.375" style="368" customWidth="1"/>
    <col min="7179" max="7179" width="6.375" style="368" customWidth="1"/>
    <col min="7180" max="7180" width="8.375" style="368" customWidth="1"/>
    <col min="7181" max="7424" width="9" style="368"/>
    <col min="7425" max="7425" width="18.125" style="368" customWidth="1"/>
    <col min="7426" max="7426" width="12.75" style="368" customWidth="1"/>
    <col min="7427" max="7427" width="12.125" style="368" bestFit="1" customWidth="1"/>
    <col min="7428" max="7428" width="14.125" style="368" bestFit="1" customWidth="1"/>
    <col min="7429" max="7430" width="12.125" style="368" bestFit="1" customWidth="1"/>
    <col min="7431" max="7431" width="12.375" style="368" customWidth="1"/>
    <col min="7432" max="7434" width="8.375" style="368" customWidth="1"/>
    <col min="7435" max="7435" width="6.375" style="368" customWidth="1"/>
    <col min="7436" max="7436" width="8.375" style="368" customWidth="1"/>
    <col min="7437" max="7680" width="9" style="368"/>
    <col min="7681" max="7681" width="18.125" style="368" customWidth="1"/>
    <col min="7682" max="7682" width="12.75" style="368" customWidth="1"/>
    <col min="7683" max="7683" width="12.125" style="368" bestFit="1" customWidth="1"/>
    <col min="7684" max="7684" width="14.125" style="368" bestFit="1" customWidth="1"/>
    <col min="7685" max="7686" width="12.125" style="368" bestFit="1" customWidth="1"/>
    <col min="7687" max="7687" width="12.375" style="368" customWidth="1"/>
    <col min="7688" max="7690" width="8.375" style="368" customWidth="1"/>
    <col min="7691" max="7691" width="6.375" style="368" customWidth="1"/>
    <col min="7692" max="7692" width="8.375" style="368" customWidth="1"/>
    <col min="7693" max="7936" width="9" style="368"/>
    <col min="7937" max="7937" width="18.125" style="368" customWidth="1"/>
    <col min="7938" max="7938" width="12.75" style="368" customWidth="1"/>
    <col min="7939" max="7939" width="12.125" style="368" bestFit="1" customWidth="1"/>
    <col min="7940" max="7940" width="14.125" style="368" bestFit="1" customWidth="1"/>
    <col min="7941" max="7942" width="12.125" style="368" bestFit="1" customWidth="1"/>
    <col min="7943" max="7943" width="12.375" style="368" customWidth="1"/>
    <col min="7944" max="7946" width="8.375" style="368" customWidth="1"/>
    <col min="7947" max="7947" width="6.375" style="368" customWidth="1"/>
    <col min="7948" max="7948" width="8.375" style="368" customWidth="1"/>
    <col min="7949" max="8192" width="9" style="368"/>
    <col min="8193" max="8193" width="18.125" style="368" customWidth="1"/>
    <col min="8194" max="8194" width="12.75" style="368" customWidth="1"/>
    <col min="8195" max="8195" width="12.125" style="368" bestFit="1" customWidth="1"/>
    <col min="8196" max="8196" width="14.125" style="368" bestFit="1" customWidth="1"/>
    <col min="8197" max="8198" width="12.125" style="368" bestFit="1" customWidth="1"/>
    <col min="8199" max="8199" width="12.375" style="368" customWidth="1"/>
    <col min="8200" max="8202" width="8.375" style="368" customWidth="1"/>
    <col min="8203" max="8203" width="6.375" style="368" customWidth="1"/>
    <col min="8204" max="8204" width="8.375" style="368" customWidth="1"/>
    <col min="8205" max="8448" width="9" style="368"/>
    <col min="8449" max="8449" width="18.125" style="368" customWidth="1"/>
    <col min="8450" max="8450" width="12.75" style="368" customWidth="1"/>
    <col min="8451" max="8451" width="12.125" style="368" bestFit="1" customWidth="1"/>
    <col min="8452" max="8452" width="14.125" style="368" bestFit="1" customWidth="1"/>
    <col min="8453" max="8454" width="12.125" style="368" bestFit="1" customWidth="1"/>
    <col min="8455" max="8455" width="12.375" style="368" customWidth="1"/>
    <col min="8456" max="8458" width="8.375" style="368" customWidth="1"/>
    <col min="8459" max="8459" width="6.375" style="368" customWidth="1"/>
    <col min="8460" max="8460" width="8.375" style="368" customWidth="1"/>
    <col min="8461" max="8704" width="9" style="368"/>
    <col min="8705" max="8705" width="18.125" style="368" customWidth="1"/>
    <col min="8706" max="8706" width="12.75" style="368" customWidth="1"/>
    <col min="8707" max="8707" width="12.125" style="368" bestFit="1" customWidth="1"/>
    <col min="8708" max="8708" width="14.125" style="368" bestFit="1" customWidth="1"/>
    <col min="8709" max="8710" width="12.125" style="368" bestFit="1" customWidth="1"/>
    <col min="8711" max="8711" width="12.375" style="368" customWidth="1"/>
    <col min="8712" max="8714" width="8.375" style="368" customWidth="1"/>
    <col min="8715" max="8715" width="6.375" style="368" customWidth="1"/>
    <col min="8716" max="8716" width="8.375" style="368" customWidth="1"/>
    <col min="8717" max="8960" width="9" style="368"/>
    <col min="8961" max="8961" width="18.125" style="368" customWidth="1"/>
    <col min="8962" max="8962" width="12.75" style="368" customWidth="1"/>
    <col min="8963" max="8963" width="12.125" style="368" bestFit="1" customWidth="1"/>
    <col min="8964" max="8964" width="14.125" style="368" bestFit="1" customWidth="1"/>
    <col min="8965" max="8966" width="12.125" style="368" bestFit="1" customWidth="1"/>
    <col min="8967" max="8967" width="12.375" style="368" customWidth="1"/>
    <col min="8968" max="8970" width="8.375" style="368" customWidth="1"/>
    <col min="8971" max="8971" width="6.375" style="368" customWidth="1"/>
    <col min="8972" max="8972" width="8.375" style="368" customWidth="1"/>
    <col min="8973" max="9216" width="9" style="368"/>
    <col min="9217" max="9217" width="18.125" style="368" customWidth="1"/>
    <col min="9218" max="9218" width="12.75" style="368" customWidth="1"/>
    <col min="9219" max="9219" width="12.125" style="368" bestFit="1" customWidth="1"/>
    <col min="9220" max="9220" width="14.125" style="368" bestFit="1" customWidth="1"/>
    <col min="9221" max="9222" width="12.125" style="368" bestFit="1" customWidth="1"/>
    <col min="9223" max="9223" width="12.375" style="368" customWidth="1"/>
    <col min="9224" max="9226" width="8.375" style="368" customWidth="1"/>
    <col min="9227" max="9227" width="6.375" style="368" customWidth="1"/>
    <col min="9228" max="9228" width="8.375" style="368" customWidth="1"/>
    <col min="9229" max="9472" width="9" style="368"/>
    <col min="9473" max="9473" width="18.125" style="368" customWidth="1"/>
    <col min="9474" max="9474" width="12.75" style="368" customWidth="1"/>
    <col min="9475" max="9475" width="12.125" style="368" bestFit="1" customWidth="1"/>
    <col min="9476" max="9476" width="14.125" style="368" bestFit="1" customWidth="1"/>
    <col min="9477" max="9478" width="12.125" style="368" bestFit="1" customWidth="1"/>
    <col min="9479" max="9479" width="12.375" style="368" customWidth="1"/>
    <col min="9480" max="9482" width="8.375" style="368" customWidth="1"/>
    <col min="9483" max="9483" width="6.375" style="368" customWidth="1"/>
    <col min="9484" max="9484" width="8.375" style="368" customWidth="1"/>
    <col min="9485" max="9728" width="9" style="368"/>
    <col min="9729" max="9729" width="18.125" style="368" customWidth="1"/>
    <col min="9730" max="9730" width="12.75" style="368" customWidth="1"/>
    <col min="9731" max="9731" width="12.125" style="368" bestFit="1" customWidth="1"/>
    <col min="9732" max="9732" width="14.125" style="368" bestFit="1" customWidth="1"/>
    <col min="9733" max="9734" width="12.125" style="368" bestFit="1" customWidth="1"/>
    <col min="9735" max="9735" width="12.375" style="368" customWidth="1"/>
    <col min="9736" max="9738" width="8.375" style="368" customWidth="1"/>
    <col min="9739" max="9739" width="6.375" style="368" customWidth="1"/>
    <col min="9740" max="9740" width="8.375" style="368" customWidth="1"/>
    <col min="9741" max="9984" width="9" style="368"/>
    <col min="9985" max="9985" width="18.125" style="368" customWidth="1"/>
    <col min="9986" max="9986" width="12.75" style="368" customWidth="1"/>
    <col min="9987" max="9987" width="12.125" style="368" bestFit="1" customWidth="1"/>
    <col min="9988" max="9988" width="14.125" style="368" bestFit="1" customWidth="1"/>
    <col min="9989" max="9990" width="12.125" style="368" bestFit="1" customWidth="1"/>
    <col min="9991" max="9991" width="12.375" style="368" customWidth="1"/>
    <col min="9992" max="9994" width="8.375" style="368" customWidth="1"/>
    <col min="9995" max="9995" width="6.375" style="368" customWidth="1"/>
    <col min="9996" max="9996" width="8.375" style="368" customWidth="1"/>
    <col min="9997" max="10240" width="9" style="368"/>
    <col min="10241" max="10241" width="18.125" style="368" customWidth="1"/>
    <col min="10242" max="10242" width="12.75" style="368" customWidth="1"/>
    <col min="10243" max="10243" width="12.125" style="368" bestFit="1" customWidth="1"/>
    <col min="10244" max="10244" width="14.125" style="368" bestFit="1" customWidth="1"/>
    <col min="10245" max="10246" width="12.125" style="368" bestFit="1" customWidth="1"/>
    <col min="10247" max="10247" width="12.375" style="368" customWidth="1"/>
    <col min="10248" max="10250" width="8.375" style="368" customWidth="1"/>
    <col min="10251" max="10251" width="6.375" style="368" customWidth="1"/>
    <col min="10252" max="10252" width="8.375" style="368" customWidth="1"/>
    <col min="10253" max="10496" width="9" style="368"/>
    <col min="10497" max="10497" width="18.125" style="368" customWidth="1"/>
    <col min="10498" max="10498" width="12.75" style="368" customWidth="1"/>
    <col min="10499" max="10499" width="12.125" style="368" bestFit="1" customWidth="1"/>
    <col min="10500" max="10500" width="14.125" style="368" bestFit="1" customWidth="1"/>
    <col min="10501" max="10502" width="12.125" style="368" bestFit="1" customWidth="1"/>
    <col min="10503" max="10503" width="12.375" style="368" customWidth="1"/>
    <col min="10504" max="10506" width="8.375" style="368" customWidth="1"/>
    <col min="10507" max="10507" width="6.375" style="368" customWidth="1"/>
    <col min="10508" max="10508" width="8.375" style="368" customWidth="1"/>
    <col min="10509" max="10752" width="9" style="368"/>
    <col min="10753" max="10753" width="18.125" style="368" customWidth="1"/>
    <col min="10754" max="10754" width="12.75" style="368" customWidth="1"/>
    <col min="10755" max="10755" width="12.125" style="368" bestFit="1" customWidth="1"/>
    <col min="10756" max="10756" width="14.125" style="368" bestFit="1" customWidth="1"/>
    <col min="10757" max="10758" width="12.125" style="368" bestFit="1" customWidth="1"/>
    <col min="10759" max="10759" width="12.375" style="368" customWidth="1"/>
    <col min="10760" max="10762" width="8.375" style="368" customWidth="1"/>
    <col min="10763" max="10763" width="6.375" style="368" customWidth="1"/>
    <col min="10764" max="10764" width="8.375" style="368" customWidth="1"/>
    <col min="10765" max="11008" width="9" style="368"/>
    <col min="11009" max="11009" width="18.125" style="368" customWidth="1"/>
    <col min="11010" max="11010" width="12.75" style="368" customWidth="1"/>
    <col min="11011" max="11011" width="12.125" style="368" bestFit="1" customWidth="1"/>
    <col min="11012" max="11012" width="14.125" style="368" bestFit="1" customWidth="1"/>
    <col min="11013" max="11014" width="12.125" style="368" bestFit="1" customWidth="1"/>
    <col min="11015" max="11015" width="12.375" style="368" customWidth="1"/>
    <col min="11016" max="11018" width="8.375" style="368" customWidth="1"/>
    <col min="11019" max="11019" width="6.375" style="368" customWidth="1"/>
    <col min="11020" max="11020" width="8.375" style="368" customWidth="1"/>
    <col min="11021" max="11264" width="9" style="368"/>
    <col min="11265" max="11265" width="18.125" style="368" customWidth="1"/>
    <col min="11266" max="11266" width="12.75" style="368" customWidth="1"/>
    <col min="11267" max="11267" width="12.125" style="368" bestFit="1" customWidth="1"/>
    <col min="11268" max="11268" width="14.125" style="368" bestFit="1" customWidth="1"/>
    <col min="11269" max="11270" width="12.125" style="368" bestFit="1" customWidth="1"/>
    <col min="11271" max="11271" width="12.375" style="368" customWidth="1"/>
    <col min="11272" max="11274" width="8.375" style="368" customWidth="1"/>
    <col min="11275" max="11275" width="6.375" style="368" customWidth="1"/>
    <col min="11276" max="11276" width="8.375" style="368" customWidth="1"/>
    <col min="11277" max="11520" width="9" style="368"/>
    <col min="11521" max="11521" width="18.125" style="368" customWidth="1"/>
    <col min="11522" max="11522" width="12.75" style="368" customWidth="1"/>
    <col min="11523" max="11523" width="12.125" style="368" bestFit="1" customWidth="1"/>
    <col min="11524" max="11524" width="14.125" style="368" bestFit="1" customWidth="1"/>
    <col min="11525" max="11526" width="12.125" style="368" bestFit="1" customWidth="1"/>
    <col min="11527" max="11527" width="12.375" style="368" customWidth="1"/>
    <col min="11528" max="11530" width="8.375" style="368" customWidth="1"/>
    <col min="11531" max="11531" width="6.375" style="368" customWidth="1"/>
    <col min="11532" max="11532" width="8.375" style="368" customWidth="1"/>
    <col min="11533" max="11776" width="9" style="368"/>
    <col min="11777" max="11777" width="18.125" style="368" customWidth="1"/>
    <col min="11778" max="11778" width="12.75" style="368" customWidth="1"/>
    <col min="11779" max="11779" width="12.125" style="368" bestFit="1" customWidth="1"/>
    <col min="11780" max="11780" width="14.125" style="368" bestFit="1" customWidth="1"/>
    <col min="11781" max="11782" width="12.125" style="368" bestFit="1" customWidth="1"/>
    <col min="11783" max="11783" width="12.375" style="368" customWidth="1"/>
    <col min="11784" max="11786" width="8.375" style="368" customWidth="1"/>
    <col min="11787" max="11787" width="6.375" style="368" customWidth="1"/>
    <col min="11788" max="11788" width="8.375" style="368" customWidth="1"/>
    <col min="11789" max="12032" width="9" style="368"/>
    <col min="12033" max="12033" width="18.125" style="368" customWidth="1"/>
    <col min="12034" max="12034" width="12.75" style="368" customWidth="1"/>
    <col min="12035" max="12035" width="12.125" style="368" bestFit="1" customWidth="1"/>
    <col min="12036" max="12036" width="14.125" style="368" bestFit="1" customWidth="1"/>
    <col min="12037" max="12038" width="12.125" style="368" bestFit="1" customWidth="1"/>
    <col min="12039" max="12039" width="12.375" style="368" customWidth="1"/>
    <col min="12040" max="12042" width="8.375" style="368" customWidth="1"/>
    <col min="12043" max="12043" width="6.375" style="368" customWidth="1"/>
    <col min="12044" max="12044" width="8.375" style="368" customWidth="1"/>
    <col min="12045" max="12288" width="9" style="368"/>
    <col min="12289" max="12289" width="18.125" style="368" customWidth="1"/>
    <col min="12290" max="12290" width="12.75" style="368" customWidth="1"/>
    <col min="12291" max="12291" width="12.125" style="368" bestFit="1" customWidth="1"/>
    <col min="12292" max="12292" width="14.125" style="368" bestFit="1" customWidth="1"/>
    <col min="12293" max="12294" width="12.125" style="368" bestFit="1" customWidth="1"/>
    <col min="12295" max="12295" width="12.375" style="368" customWidth="1"/>
    <col min="12296" max="12298" width="8.375" style="368" customWidth="1"/>
    <col min="12299" max="12299" width="6.375" style="368" customWidth="1"/>
    <col min="12300" max="12300" width="8.375" style="368" customWidth="1"/>
    <col min="12301" max="12544" width="9" style="368"/>
    <col min="12545" max="12545" width="18.125" style="368" customWidth="1"/>
    <col min="12546" max="12546" width="12.75" style="368" customWidth="1"/>
    <col min="12547" max="12547" width="12.125" style="368" bestFit="1" customWidth="1"/>
    <col min="12548" max="12548" width="14.125" style="368" bestFit="1" customWidth="1"/>
    <col min="12549" max="12550" width="12.125" style="368" bestFit="1" customWidth="1"/>
    <col min="12551" max="12551" width="12.375" style="368" customWidth="1"/>
    <col min="12552" max="12554" width="8.375" style="368" customWidth="1"/>
    <col min="12555" max="12555" width="6.375" style="368" customWidth="1"/>
    <col min="12556" max="12556" width="8.375" style="368" customWidth="1"/>
    <col min="12557" max="12800" width="9" style="368"/>
    <col min="12801" max="12801" width="18.125" style="368" customWidth="1"/>
    <col min="12802" max="12802" width="12.75" style="368" customWidth="1"/>
    <col min="12803" max="12803" width="12.125" style="368" bestFit="1" customWidth="1"/>
    <col min="12804" max="12804" width="14.125" style="368" bestFit="1" customWidth="1"/>
    <col min="12805" max="12806" width="12.125" style="368" bestFit="1" customWidth="1"/>
    <col min="12807" max="12807" width="12.375" style="368" customWidth="1"/>
    <col min="12808" max="12810" width="8.375" style="368" customWidth="1"/>
    <col min="12811" max="12811" width="6.375" style="368" customWidth="1"/>
    <col min="12812" max="12812" width="8.375" style="368" customWidth="1"/>
    <col min="12813" max="13056" width="9" style="368"/>
    <col min="13057" max="13057" width="18.125" style="368" customWidth="1"/>
    <col min="13058" max="13058" width="12.75" style="368" customWidth="1"/>
    <col min="13059" max="13059" width="12.125" style="368" bestFit="1" customWidth="1"/>
    <col min="13060" max="13060" width="14.125" style="368" bestFit="1" customWidth="1"/>
    <col min="13061" max="13062" width="12.125" style="368" bestFit="1" customWidth="1"/>
    <col min="13063" max="13063" width="12.375" style="368" customWidth="1"/>
    <col min="13064" max="13066" width="8.375" style="368" customWidth="1"/>
    <col min="13067" max="13067" width="6.375" style="368" customWidth="1"/>
    <col min="13068" max="13068" width="8.375" style="368" customWidth="1"/>
    <col min="13069" max="13312" width="9" style="368"/>
    <col min="13313" max="13313" width="18.125" style="368" customWidth="1"/>
    <col min="13314" max="13314" width="12.75" style="368" customWidth="1"/>
    <col min="13315" max="13315" width="12.125" style="368" bestFit="1" customWidth="1"/>
    <col min="13316" max="13316" width="14.125" style="368" bestFit="1" customWidth="1"/>
    <col min="13317" max="13318" width="12.125" style="368" bestFit="1" customWidth="1"/>
    <col min="13319" max="13319" width="12.375" style="368" customWidth="1"/>
    <col min="13320" max="13322" width="8.375" style="368" customWidth="1"/>
    <col min="13323" max="13323" width="6.375" style="368" customWidth="1"/>
    <col min="13324" max="13324" width="8.375" style="368" customWidth="1"/>
    <col min="13325" max="13568" width="9" style="368"/>
    <col min="13569" max="13569" width="18.125" style="368" customWidth="1"/>
    <col min="13570" max="13570" width="12.75" style="368" customWidth="1"/>
    <col min="13571" max="13571" width="12.125" style="368" bestFit="1" customWidth="1"/>
    <col min="13572" max="13572" width="14.125" style="368" bestFit="1" customWidth="1"/>
    <col min="13573" max="13574" width="12.125" style="368" bestFit="1" customWidth="1"/>
    <col min="13575" max="13575" width="12.375" style="368" customWidth="1"/>
    <col min="13576" max="13578" width="8.375" style="368" customWidth="1"/>
    <col min="13579" max="13579" width="6.375" style="368" customWidth="1"/>
    <col min="13580" max="13580" width="8.375" style="368" customWidth="1"/>
    <col min="13581" max="13824" width="9" style="368"/>
    <col min="13825" max="13825" width="18.125" style="368" customWidth="1"/>
    <col min="13826" max="13826" width="12.75" style="368" customWidth="1"/>
    <col min="13827" max="13827" width="12.125" style="368" bestFit="1" customWidth="1"/>
    <col min="13828" max="13828" width="14.125" style="368" bestFit="1" customWidth="1"/>
    <col min="13829" max="13830" width="12.125" style="368" bestFit="1" customWidth="1"/>
    <col min="13831" max="13831" width="12.375" style="368" customWidth="1"/>
    <col min="13832" max="13834" width="8.375" style="368" customWidth="1"/>
    <col min="13835" max="13835" width="6.375" style="368" customWidth="1"/>
    <col min="13836" max="13836" width="8.375" style="368" customWidth="1"/>
    <col min="13837" max="14080" width="9" style="368"/>
    <col min="14081" max="14081" width="18.125" style="368" customWidth="1"/>
    <col min="14082" max="14082" width="12.75" style="368" customWidth="1"/>
    <col min="14083" max="14083" width="12.125" style="368" bestFit="1" customWidth="1"/>
    <col min="14084" max="14084" width="14.125" style="368" bestFit="1" customWidth="1"/>
    <col min="14085" max="14086" width="12.125" style="368" bestFit="1" customWidth="1"/>
    <col min="14087" max="14087" width="12.375" style="368" customWidth="1"/>
    <col min="14088" max="14090" width="8.375" style="368" customWidth="1"/>
    <col min="14091" max="14091" width="6.375" style="368" customWidth="1"/>
    <col min="14092" max="14092" width="8.375" style="368" customWidth="1"/>
    <col min="14093" max="14336" width="9" style="368"/>
    <col min="14337" max="14337" width="18.125" style="368" customWidth="1"/>
    <col min="14338" max="14338" width="12.75" style="368" customWidth="1"/>
    <col min="14339" max="14339" width="12.125" style="368" bestFit="1" customWidth="1"/>
    <col min="14340" max="14340" width="14.125" style="368" bestFit="1" customWidth="1"/>
    <col min="14341" max="14342" width="12.125" style="368" bestFit="1" customWidth="1"/>
    <col min="14343" max="14343" width="12.375" style="368" customWidth="1"/>
    <col min="14344" max="14346" width="8.375" style="368" customWidth="1"/>
    <col min="14347" max="14347" width="6.375" style="368" customWidth="1"/>
    <col min="14348" max="14348" width="8.375" style="368" customWidth="1"/>
    <col min="14349" max="14592" width="9" style="368"/>
    <col min="14593" max="14593" width="18.125" style="368" customWidth="1"/>
    <col min="14594" max="14594" width="12.75" style="368" customWidth="1"/>
    <col min="14595" max="14595" width="12.125" style="368" bestFit="1" customWidth="1"/>
    <col min="14596" max="14596" width="14.125" style="368" bestFit="1" customWidth="1"/>
    <col min="14597" max="14598" width="12.125" style="368" bestFit="1" customWidth="1"/>
    <col min="14599" max="14599" width="12.375" style="368" customWidth="1"/>
    <col min="14600" max="14602" width="8.375" style="368" customWidth="1"/>
    <col min="14603" max="14603" width="6.375" style="368" customWidth="1"/>
    <col min="14604" max="14604" width="8.375" style="368" customWidth="1"/>
    <col min="14605" max="14848" width="9" style="368"/>
    <col min="14849" max="14849" width="18.125" style="368" customWidth="1"/>
    <col min="14850" max="14850" width="12.75" style="368" customWidth="1"/>
    <col min="14851" max="14851" width="12.125" style="368" bestFit="1" customWidth="1"/>
    <col min="14852" max="14852" width="14.125" style="368" bestFit="1" customWidth="1"/>
    <col min="14853" max="14854" width="12.125" style="368" bestFit="1" customWidth="1"/>
    <col min="14855" max="14855" width="12.375" style="368" customWidth="1"/>
    <col min="14856" max="14858" width="8.375" style="368" customWidth="1"/>
    <col min="14859" max="14859" width="6.375" style="368" customWidth="1"/>
    <col min="14860" max="14860" width="8.375" style="368" customWidth="1"/>
    <col min="14861" max="15104" width="9" style="368"/>
    <col min="15105" max="15105" width="18.125" style="368" customWidth="1"/>
    <col min="15106" max="15106" width="12.75" style="368" customWidth="1"/>
    <col min="15107" max="15107" width="12.125" style="368" bestFit="1" customWidth="1"/>
    <col min="15108" max="15108" width="14.125" style="368" bestFit="1" customWidth="1"/>
    <col min="15109" max="15110" width="12.125" style="368" bestFit="1" customWidth="1"/>
    <col min="15111" max="15111" width="12.375" style="368" customWidth="1"/>
    <col min="15112" max="15114" width="8.375" style="368" customWidth="1"/>
    <col min="15115" max="15115" width="6.375" style="368" customWidth="1"/>
    <col min="15116" max="15116" width="8.375" style="368" customWidth="1"/>
    <col min="15117" max="15360" width="9" style="368"/>
    <col min="15361" max="15361" width="18.125" style="368" customWidth="1"/>
    <col min="15362" max="15362" width="12.75" style="368" customWidth="1"/>
    <col min="15363" max="15363" width="12.125" style="368" bestFit="1" customWidth="1"/>
    <col min="15364" max="15364" width="14.125" style="368" bestFit="1" customWidth="1"/>
    <col min="15365" max="15366" width="12.125" style="368" bestFit="1" customWidth="1"/>
    <col min="15367" max="15367" width="12.375" style="368" customWidth="1"/>
    <col min="15368" max="15370" width="8.375" style="368" customWidth="1"/>
    <col min="15371" max="15371" width="6.375" style="368" customWidth="1"/>
    <col min="15372" max="15372" width="8.375" style="368" customWidth="1"/>
    <col min="15373" max="15616" width="9" style="368"/>
    <col min="15617" max="15617" width="18.125" style="368" customWidth="1"/>
    <col min="15618" max="15618" width="12.75" style="368" customWidth="1"/>
    <col min="15619" max="15619" width="12.125" style="368" bestFit="1" customWidth="1"/>
    <col min="15620" max="15620" width="14.125" style="368" bestFit="1" customWidth="1"/>
    <col min="15621" max="15622" width="12.125" style="368" bestFit="1" customWidth="1"/>
    <col min="15623" max="15623" width="12.375" style="368" customWidth="1"/>
    <col min="15624" max="15626" width="8.375" style="368" customWidth="1"/>
    <col min="15627" max="15627" width="6.375" style="368" customWidth="1"/>
    <col min="15628" max="15628" width="8.375" style="368" customWidth="1"/>
    <col min="15629" max="15872" width="9" style="368"/>
    <col min="15873" max="15873" width="18.125" style="368" customWidth="1"/>
    <col min="15874" max="15874" width="12.75" style="368" customWidth="1"/>
    <col min="15875" max="15875" width="12.125" style="368" bestFit="1" customWidth="1"/>
    <col min="15876" max="15876" width="14.125" style="368" bestFit="1" customWidth="1"/>
    <col min="15877" max="15878" width="12.125" style="368" bestFit="1" customWidth="1"/>
    <col min="15879" max="15879" width="12.375" style="368" customWidth="1"/>
    <col min="15880" max="15882" width="8.375" style="368" customWidth="1"/>
    <col min="15883" max="15883" width="6.375" style="368" customWidth="1"/>
    <col min="15884" max="15884" width="8.375" style="368" customWidth="1"/>
    <col min="15885" max="16128" width="9" style="368"/>
    <col min="16129" max="16129" width="18.125" style="368" customWidth="1"/>
    <col min="16130" max="16130" width="12.75" style="368" customWidth="1"/>
    <col min="16131" max="16131" width="12.125" style="368" bestFit="1" customWidth="1"/>
    <col min="16132" max="16132" width="14.125" style="368" bestFit="1" customWidth="1"/>
    <col min="16133" max="16134" width="12.125" style="368" bestFit="1" customWidth="1"/>
    <col min="16135" max="16135" width="12.375" style="368" customWidth="1"/>
    <col min="16136" max="16138" width="8.375" style="368" customWidth="1"/>
    <col min="16139" max="16139" width="6.375" style="368" customWidth="1"/>
    <col min="16140" max="16140" width="8.375" style="368" customWidth="1"/>
    <col min="16141" max="16384" width="9" style="368"/>
  </cols>
  <sheetData>
    <row r="1" spans="1:12" ht="36.75" customHeight="1">
      <c r="A1" s="722" t="s">
        <v>1765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18.75" customHeight="1">
      <c r="A2" s="369"/>
      <c r="B2" s="369"/>
      <c r="C2" s="369"/>
      <c r="D2" s="441"/>
      <c r="E2" s="369"/>
      <c r="F2" s="369"/>
      <c r="G2" s="369"/>
      <c r="H2" s="369"/>
      <c r="I2" s="369"/>
      <c r="J2" s="369"/>
      <c r="K2" s="369"/>
      <c r="L2" s="371" t="s">
        <v>1766</v>
      </c>
    </row>
    <row r="3" spans="1:12" ht="18.75" customHeight="1" thickBot="1">
      <c r="A3" s="343" t="s">
        <v>1526</v>
      </c>
      <c r="B3" s="369"/>
      <c r="C3" s="369"/>
      <c r="E3" s="369"/>
      <c r="F3" s="369"/>
      <c r="G3" s="369"/>
      <c r="H3" s="369"/>
      <c r="I3" s="369"/>
      <c r="J3" s="369"/>
      <c r="K3" s="369"/>
      <c r="L3" s="371" t="s">
        <v>1527</v>
      </c>
    </row>
    <row r="4" spans="1:12" ht="47.25" customHeight="1" thickBot="1">
      <c r="A4" s="442" t="s">
        <v>1767</v>
      </c>
      <c r="B4" s="443" t="s">
        <v>1570</v>
      </c>
      <c r="C4" s="444" t="s">
        <v>1768</v>
      </c>
      <c r="D4" s="445" t="s">
        <v>1747</v>
      </c>
      <c r="E4" s="446" t="s">
        <v>1769</v>
      </c>
      <c r="F4" s="446" t="s">
        <v>1770</v>
      </c>
      <c r="G4" s="446" t="s">
        <v>1771</v>
      </c>
      <c r="H4" s="446" t="s">
        <v>1723</v>
      </c>
      <c r="I4" s="446" t="s">
        <v>1772</v>
      </c>
      <c r="J4" s="446" t="s">
        <v>1773</v>
      </c>
      <c r="K4" s="446" t="s">
        <v>1508</v>
      </c>
      <c r="L4" s="445" t="s">
        <v>1774</v>
      </c>
    </row>
    <row r="5" spans="1:12" ht="21.75" customHeight="1">
      <c r="A5" s="447" t="s">
        <v>1775</v>
      </c>
      <c r="B5" s="448">
        <f t="shared" ref="B5:B21" si="0">SUM(C5:L5)</f>
        <v>12297680.379999999</v>
      </c>
      <c r="C5" s="449">
        <f>SUM(C6:C8)</f>
        <v>0</v>
      </c>
      <c r="D5" s="450">
        <f>SUM(D6:D8)</f>
        <v>0</v>
      </c>
      <c r="E5" s="451">
        <f>SUM(E6:E8)</f>
        <v>12297680.379999999</v>
      </c>
      <c r="F5" s="451">
        <f t="shared" ref="F5:L5" si="1">SUM(F6:F8)</f>
        <v>0</v>
      </c>
      <c r="G5" s="451">
        <f>SUM(G6:G8)</f>
        <v>0</v>
      </c>
      <c r="H5" s="451">
        <f>SUM(H6:H8)</f>
        <v>0</v>
      </c>
      <c r="I5" s="451">
        <f>SUM(I6:I8)</f>
        <v>0</v>
      </c>
      <c r="J5" s="451">
        <f t="shared" si="1"/>
        <v>0</v>
      </c>
      <c r="K5" s="451">
        <f>SUM(K6:K8)</f>
        <v>0</v>
      </c>
      <c r="L5" s="450">
        <f t="shared" si="1"/>
        <v>0</v>
      </c>
    </row>
    <row r="6" spans="1:12" ht="21.75" customHeight="1">
      <c r="A6" s="452" t="s">
        <v>1776</v>
      </c>
      <c r="B6" s="453">
        <f t="shared" si="0"/>
        <v>300000</v>
      </c>
      <c r="C6" s="269"/>
      <c r="D6" s="270"/>
      <c r="E6" s="271">
        <v>300000</v>
      </c>
      <c r="F6" s="271"/>
      <c r="G6" s="271"/>
      <c r="H6" s="271"/>
      <c r="I6" s="271"/>
      <c r="J6" s="271"/>
      <c r="K6" s="271"/>
      <c r="L6" s="270"/>
    </row>
    <row r="7" spans="1:12" ht="21.75" customHeight="1">
      <c r="A7" s="452" t="s">
        <v>1777</v>
      </c>
      <c r="B7" s="453">
        <f t="shared" si="0"/>
        <v>11997680.379999999</v>
      </c>
      <c r="C7" s="269"/>
      <c r="D7" s="270"/>
      <c r="E7" s="271">
        <v>11997680.379999999</v>
      </c>
      <c r="F7" s="271">
        <v>0</v>
      </c>
      <c r="G7" s="271"/>
      <c r="H7" s="271"/>
      <c r="I7" s="271"/>
      <c r="J7" s="271"/>
      <c r="K7" s="271"/>
      <c r="L7" s="270"/>
    </row>
    <row r="8" spans="1:12" ht="21.75" customHeight="1">
      <c r="A8" s="452" t="s">
        <v>1778</v>
      </c>
      <c r="B8" s="453">
        <f t="shared" si="0"/>
        <v>0</v>
      </c>
      <c r="C8" s="269"/>
      <c r="D8" s="270"/>
      <c r="E8" s="271"/>
      <c r="F8" s="271"/>
      <c r="G8" s="271"/>
      <c r="H8" s="271"/>
      <c r="I8" s="271"/>
      <c r="J8" s="271"/>
      <c r="K8" s="271"/>
      <c r="L8" s="270"/>
    </row>
    <row r="9" spans="1:12" ht="21.75" customHeight="1">
      <c r="A9" s="452" t="s">
        <v>1779</v>
      </c>
      <c r="B9" s="453">
        <f t="shared" si="0"/>
        <v>630000000</v>
      </c>
      <c r="C9" s="269">
        <f>SUM(C10:C13)</f>
        <v>0</v>
      </c>
      <c r="D9" s="270">
        <f>SUM(D10:D13)</f>
        <v>0</v>
      </c>
      <c r="E9" s="271">
        <f>SUM(E10:E13)</f>
        <v>21830000</v>
      </c>
      <c r="F9" s="271">
        <f t="shared" ref="F9:L9" si="2">SUM(F10:F13)</f>
        <v>0</v>
      </c>
      <c r="G9" s="271">
        <f>SUM(G10:G13)</f>
        <v>608170000</v>
      </c>
      <c r="H9" s="271">
        <f>SUM(H10:H13)</f>
        <v>0</v>
      </c>
      <c r="I9" s="271">
        <f>SUM(I10:I13)</f>
        <v>0</v>
      </c>
      <c r="J9" s="271">
        <f t="shared" si="2"/>
        <v>0</v>
      </c>
      <c r="K9" s="271">
        <f>SUM(K10:K13)</f>
        <v>0</v>
      </c>
      <c r="L9" s="270">
        <f t="shared" si="2"/>
        <v>0</v>
      </c>
    </row>
    <row r="10" spans="1:12" ht="21.75" customHeight="1">
      <c r="A10" s="452" t="s">
        <v>1780</v>
      </c>
      <c r="B10" s="453">
        <f t="shared" si="0"/>
        <v>90230000</v>
      </c>
      <c r="C10" s="269"/>
      <c r="D10" s="270"/>
      <c r="E10" s="271">
        <v>500000</v>
      </c>
      <c r="F10" s="271"/>
      <c r="G10" s="271">
        <v>89730000</v>
      </c>
      <c r="H10" s="271"/>
      <c r="I10" s="271"/>
      <c r="J10" s="271"/>
      <c r="K10" s="271"/>
      <c r="L10" s="270"/>
    </row>
    <row r="11" spans="1:12" ht="21.75" customHeight="1">
      <c r="A11" s="452" t="s">
        <v>1781</v>
      </c>
      <c r="B11" s="453">
        <f t="shared" si="0"/>
        <v>0</v>
      </c>
      <c r="C11" s="269"/>
      <c r="D11" s="270"/>
      <c r="E11" s="271"/>
      <c r="F11" s="271"/>
      <c r="G11" s="271"/>
      <c r="H11" s="271"/>
      <c r="I11" s="271"/>
      <c r="J11" s="271"/>
      <c r="K11" s="271"/>
      <c r="L11" s="270"/>
    </row>
    <row r="12" spans="1:12" ht="21.75" customHeight="1">
      <c r="A12" s="452" t="s">
        <v>1782</v>
      </c>
      <c r="B12" s="453">
        <f t="shared" si="0"/>
        <v>539770000</v>
      </c>
      <c r="C12" s="269"/>
      <c r="D12" s="270"/>
      <c r="E12" s="271">
        <v>21330000</v>
      </c>
      <c r="F12" s="271"/>
      <c r="G12" s="271">
        <v>518440000</v>
      </c>
      <c r="H12" s="271"/>
      <c r="I12" s="271"/>
      <c r="J12" s="271"/>
      <c r="K12" s="271"/>
      <c r="L12" s="270"/>
    </row>
    <row r="13" spans="1:12" ht="21.75" customHeight="1">
      <c r="A13" s="452" t="s">
        <v>1783</v>
      </c>
      <c r="B13" s="453">
        <f t="shared" si="0"/>
        <v>0</v>
      </c>
      <c r="C13" s="269"/>
      <c r="D13" s="270"/>
      <c r="E13" s="271"/>
      <c r="F13" s="271"/>
      <c r="G13" s="271"/>
      <c r="H13" s="271"/>
      <c r="I13" s="271"/>
      <c r="J13" s="271"/>
      <c r="K13" s="271"/>
      <c r="L13" s="270"/>
    </row>
    <row r="14" spans="1:12" ht="21.75" customHeight="1">
      <c r="A14" s="452" t="s">
        <v>1784</v>
      </c>
      <c r="B14" s="453">
        <f t="shared" si="0"/>
        <v>606815332.91999996</v>
      </c>
      <c r="C14" s="269">
        <f>SUM(C15:C17)</f>
        <v>0</v>
      </c>
      <c r="D14" s="270">
        <f>SUM(D15:D17)</f>
        <v>0</v>
      </c>
      <c r="E14" s="271">
        <f>SUM(E15:E17)</f>
        <v>23402078.390000001</v>
      </c>
      <c r="F14" s="271">
        <f t="shared" ref="F14:L14" si="3">SUM(F15:F17)</f>
        <v>0</v>
      </c>
      <c r="G14" s="271">
        <f>SUM(G15:G17)</f>
        <v>583413254.52999997</v>
      </c>
      <c r="H14" s="271">
        <f>SUM(H15:H17)</f>
        <v>0</v>
      </c>
      <c r="I14" s="271">
        <f>SUM(I15:I17)</f>
        <v>0</v>
      </c>
      <c r="J14" s="271">
        <f t="shared" si="3"/>
        <v>0</v>
      </c>
      <c r="K14" s="271">
        <f>SUM(K15:K17)</f>
        <v>0</v>
      </c>
      <c r="L14" s="270">
        <f t="shared" si="3"/>
        <v>0</v>
      </c>
    </row>
    <row r="15" spans="1:12" ht="21.75" customHeight="1">
      <c r="A15" s="452" t="s">
        <v>1776</v>
      </c>
      <c r="B15" s="453">
        <f t="shared" si="0"/>
        <v>0</v>
      </c>
      <c r="C15" s="269"/>
      <c r="D15" s="270"/>
      <c r="E15" s="271"/>
      <c r="F15" s="271"/>
      <c r="G15" s="271"/>
      <c r="H15" s="271"/>
      <c r="I15" s="271"/>
      <c r="J15" s="271"/>
      <c r="K15" s="271"/>
      <c r="L15" s="270"/>
    </row>
    <row r="16" spans="1:12" ht="21.75" customHeight="1">
      <c r="A16" s="452" t="s">
        <v>1785</v>
      </c>
      <c r="B16" s="453">
        <f t="shared" si="0"/>
        <v>606815332.91999996</v>
      </c>
      <c r="C16" s="269"/>
      <c r="D16" s="270"/>
      <c r="E16" s="271">
        <v>23402078.390000001</v>
      </c>
      <c r="F16" s="271"/>
      <c r="G16" s="271">
        <v>583413254.52999997</v>
      </c>
      <c r="H16" s="271"/>
      <c r="I16" s="271"/>
      <c r="J16" s="271"/>
      <c r="K16" s="271"/>
      <c r="L16" s="270"/>
    </row>
    <row r="17" spans="1:12" ht="21.75" customHeight="1">
      <c r="A17" s="452" t="s">
        <v>1778</v>
      </c>
      <c r="B17" s="453">
        <f t="shared" si="0"/>
        <v>0</v>
      </c>
      <c r="C17" s="269"/>
      <c r="D17" s="270"/>
      <c r="E17" s="271"/>
      <c r="F17" s="271"/>
      <c r="G17" s="271"/>
      <c r="H17" s="271"/>
      <c r="I17" s="271"/>
      <c r="J17" s="271"/>
      <c r="K17" s="271"/>
      <c r="L17" s="270"/>
    </row>
    <row r="18" spans="1:12" ht="21.75" customHeight="1">
      <c r="A18" s="452" t="s">
        <v>1786</v>
      </c>
      <c r="B18" s="453">
        <f t="shared" si="0"/>
        <v>35482347.460000023</v>
      </c>
      <c r="C18" s="269">
        <f>SUM(C19:C21)</f>
        <v>0</v>
      </c>
      <c r="D18" s="270">
        <f>SUM(D19:D21)</f>
        <v>0</v>
      </c>
      <c r="E18" s="271">
        <f>SUM(E19:E21)</f>
        <v>10725601.989999995</v>
      </c>
      <c r="F18" s="271">
        <f t="shared" ref="F18:L18" si="4">SUM(F19:F21)</f>
        <v>0</v>
      </c>
      <c r="G18" s="271">
        <f>SUM(G19:G21)</f>
        <v>24756745.470000029</v>
      </c>
      <c r="H18" s="271">
        <f>SUM(H19:H21)</f>
        <v>0</v>
      </c>
      <c r="I18" s="271">
        <f>SUM(I19:I21)</f>
        <v>0</v>
      </c>
      <c r="J18" s="271">
        <f t="shared" si="4"/>
        <v>0</v>
      </c>
      <c r="K18" s="271">
        <f>SUM(K19:K21)</f>
        <v>0</v>
      </c>
      <c r="L18" s="270">
        <f t="shared" si="4"/>
        <v>0</v>
      </c>
    </row>
    <row r="19" spans="1:12" ht="21.75" customHeight="1">
      <c r="A19" s="452" t="s">
        <v>1776</v>
      </c>
      <c r="B19" s="453">
        <f t="shared" si="0"/>
        <v>300000</v>
      </c>
      <c r="C19" s="269">
        <f>C6+C11-C15</f>
        <v>0</v>
      </c>
      <c r="D19" s="270">
        <f>D6+D11-D15</f>
        <v>0</v>
      </c>
      <c r="E19" s="271">
        <f>E6+E11-E15</f>
        <v>300000</v>
      </c>
      <c r="F19" s="271">
        <f t="shared" ref="F19:L19" si="5">F6+F11-F15</f>
        <v>0</v>
      </c>
      <c r="G19" s="271">
        <f>G6+G11-G15</f>
        <v>0</v>
      </c>
      <c r="H19" s="271">
        <f>H6+H11-H15</f>
        <v>0</v>
      </c>
      <c r="I19" s="271">
        <f>I6+I11-I15</f>
        <v>0</v>
      </c>
      <c r="J19" s="271">
        <f t="shared" si="5"/>
        <v>0</v>
      </c>
      <c r="K19" s="271">
        <f>K6+K11-K15</f>
        <v>0</v>
      </c>
      <c r="L19" s="270">
        <f t="shared" si="5"/>
        <v>0</v>
      </c>
    </row>
    <row r="20" spans="1:12" ht="21.75" customHeight="1">
      <c r="A20" s="452" t="s">
        <v>1777</v>
      </c>
      <c r="B20" s="454">
        <f t="shared" si="0"/>
        <v>35182347.460000023</v>
      </c>
      <c r="C20" s="269">
        <f>C7+C10+C12-C16</f>
        <v>0</v>
      </c>
      <c r="D20" s="270">
        <f>D7+D10+D12-D16</f>
        <v>0</v>
      </c>
      <c r="E20" s="271">
        <f>E7+E10+E12-E16</f>
        <v>10425601.989999995</v>
      </c>
      <c r="F20" s="271">
        <f t="shared" ref="F20:L20" si="6">F7+F10+F12-F16</f>
        <v>0</v>
      </c>
      <c r="G20" s="271">
        <f>G7+G10+G12-G16</f>
        <v>24756745.470000029</v>
      </c>
      <c r="H20" s="271">
        <f>H7+H10+H12-H16</f>
        <v>0</v>
      </c>
      <c r="I20" s="271">
        <f>I7+I10+I12-I16</f>
        <v>0</v>
      </c>
      <c r="J20" s="271">
        <f t="shared" si="6"/>
        <v>0</v>
      </c>
      <c r="K20" s="271">
        <f>K7+K10+K12-K16</f>
        <v>0</v>
      </c>
      <c r="L20" s="270">
        <f t="shared" si="6"/>
        <v>0</v>
      </c>
    </row>
    <row r="21" spans="1:12" ht="21.75" customHeight="1" thickBot="1">
      <c r="A21" s="455" t="s">
        <v>1778</v>
      </c>
      <c r="B21" s="456">
        <f t="shared" si="0"/>
        <v>0</v>
      </c>
      <c r="C21" s="457">
        <f>C8+C13-C17</f>
        <v>0</v>
      </c>
      <c r="D21" s="458">
        <f>D8+D13-D17</f>
        <v>0</v>
      </c>
      <c r="E21" s="459">
        <f>E8+E13-E17</f>
        <v>0</v>
      </c>
      <c r="F21" s="459">
        <f t="shared" ref="F21:L21" si="7">F8+F13-F17</f>
        <v>0</v>
      </c>
      <c r="G21" s="459">
        <f>G8+G13-G17</f>
        <v>0</v>
      </c>
      <c r="H21" s="459">
        <f>H8+H13-H17</f>
        <v>0</v>
      </c>
      <c r="I21" s="459">
        <f>I8+I13-I17</f>
        <v>0</v>
      </c>
      <c r="J21" s="459">
        <f t="shared" si="7"/>
        <v>0</v>
      </c>
      <c r="K21" s="459">
        <f>K8+K13-K17</f>
        <v>0</v>
      </c>
      <c r="L21" s="458">
        <f t="shared" si="7"/>
        <v>0</v>
      </c>
    </row>
  </sheetData>
  <mergeCells count="1">
    <mergeCell ref="A1:L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39370078740157483"/>
  <pageSetup paperSize="9" scale="98" orientation="landscape" errors="blank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>
      <selection activeCell="A3" sqref="A1:XFD1048576"/>
    </sheetView>
  </sheetViews>
  <sheetFormatPr defaultRowHeight="14.25" customHeight="1"/>
  <cols>
    <col min="1" max="1" width="40.875" style="368" customWidth="1"/>
    <col min="2" max="2" width="5.5" style="368" bestFit="1" customWidth="1"/>
    <col min="3" max="3" width="19.25" style="368" customWidth="1"/>
    <col min="4" max="4" width="40.875" style="368" customWidth="1"/>
    <col min="5" max="5" width="5.5" style="368" bestFit="1" customWidth="1"/>
    <col min="6" max="6" width="19.25" style="368" customWidth="1"/>
    <col min="7" max="7" width="9" style="368"/>
    <col min="8" max="8" width="13" style="368" bestFit="1" customWidth="1"/>
    <col min="9" max="256" width="9" style="368"/>
    <col min="257" max="257" width="40.875" style="368" customWidth="1"/>
    <col min="258" max="258" width="5.5" style="368" bestFit="1" customWidth="1"/>
    <col min="259" max="259" width="19.25" style="368" customWidth="1"/>
    <col min="260" max="260" width="40.875" style="368" customWidth="1"/>
    <col min="261" max="261" width="5.5" style="368" bestFit="1" customWidth="1"/>
    <col min="262" max="262" width="19.25" style="368" customWidth="1"/>
    <col min="263" max="263" width="9" style="368"/>
    <col min="264" max="264" width="13" style="368" bestFit="1" customWidth="1"/>
    <col min="265" max="512" width="9" style="368"/>
    <col min="513" max="513" width="40.875" style="368" customWidth="1"/>
    <col min="514" max="514" width="5.5" style="368" bestFit="1" customWidth="1"/>
    <col min="515" max="515" width="19.25" style="368" customWidth="1"/>
    <col min="516" max="516" width="40.875" style="368" customWidth="1"/>
    <col min="517" max="517" width="5.5" style="368" bestFit="1" customWidth="1"/>
    <col min="518" max="518" width="19.25" style="368" customWidth="1"/>
    <col min="519" max="519" width="9" style="368"/>
    <col min="520" max="520" width="13" style="368" bestFit="1" customWidth="1"/>
    <col min="521" max="768" width="9" style="368"/>
    <col min="769" max="769" width="40.875" style="368" customWidth="1"/>
    <col min="770" max="770" width="5.5" style="368" bestFit="1" customWidth="1"/>
    <col min="771" max="771" width="19.25" style="368" customWidth="1"/>
    <col min="772" max="772" width="40.875" style="368" customWidth="1"/>
    <col min="773" max="773" width="5.5" style="368" bestFit="1" customWidth="1"/>
    <col min="774" max="774" width="19.25" style="368" customWidth="1"/>
    <col min="775" max="775" width="9" style="368"/>
    <col min="776" max="776" width="13" style="368" bestFit="1" customWidth="1"/>
    <col min="777" max="1024" width="9" style="368"/>
    <col min="1025" max="1025" width="40.875" style="368" customWidth="1"/>
    <col min="1026" max="1026" width="5.5" style="368" bestFit="1" customWidth="1"/>
    <col min="1027" max="1027" width="19.25" style="368" customWidth="1"/>
    <col min="1028" max="1028" width="40.875" style="368" customWidth="1"/>
    <col min="1029" max="1029" width="5.5" style="368" bestFit="1" customWidth="1"/>
    <col min="1030" max="1030" width="19.25" style="368" customWidth="1"/>
    <col min="1031" max="1031" width="9" style="368"/>
    <col min="1032" max="1032" width="13" style="368" bestFit="1" customWidth="1"/>
    <col min="1033" max="1280" width="9" style="368"/>
    <col min="1281" max="1281" width="40.875" style="368" customWidth="1"/>
    <col min="1282" max="1282" width="5.5" style="368" bestFit="1" customWidth="1"/>
    <col min="1283" max="1283" width="19.25" style="368" customWidth="1"/>
    <col min="1284" max="1284" width="40.875" style="368" customWidth="1"/>
    <col min="1285" max="1285" width="5.5" style="368" bestFit="1" customWidth="1"/>
    <col min="1286" max="1286" width="19.25" style="368" customWidth="1"/>
    <col min="1287" max="1287" width="9" style="368"/>
    <col min="1288" max="1288" width="13" style="368" bestFit="1" customWidth="1"/>
    <col min="1289" max="1536" width="9" style="368"/>
    <col min="1537" max="1537" width="40.875" style="368" customWidth="1"/>
    <col min="1538" max="1538" width="5.5" style="368" bestFit="1" customWidth="1"/>
    <col min="1539" max="1539" width="19.25" style="368" customWidth="1"/>
    <col min="1540" max="1540" width="40.875" style="368" customWidth="1"/>
    <col min="1541" max="1541" width="5.5" style="368" bestFit="1" customWidth="1"/>
    <col min="1542" max="1542" width="19.25" style="368" customWidth="1"/>
    <col min="1543" max="1543" width="9" style="368"/>
    <col min="1544" max="1544" width="13" style="368" bestFit="1" customWidth="1"/>
    <col min="1545" max="1792" width="9" style="368"/>
    <col min="1793" max="1793" width="40.875" style="368" customWidth="1"/>
    <col min="1794" max="1794" width="5.5" style="368" bestFit="1" customWidth="1"/>
    <col min="1795" max="1795" width="19.25" style="368" customWidth="1"/>
    <col min="1796" max="1796" width="40.875" style="368" customWidth="1"/>
    <col min="1797" max="1797" width="5.5" style="368" bestFit="1" customWidth="1"/>
    <col min="1798" max="1798" width="19.25" style="368" customWidth="1"/>
    <col min="1799" max="1799" width="9" style="368"/>
    <col min="1800" max="1800" width="13" style="368" bestFit="1" customWidth="1"/>
    <col min="1801" max="2048" width="9" style="368"/>
    <col min="2049" max="2049" width="40.875" style="368" customWidth="1"/>
    <col min="2050" max="2050" width="5.5" style="368" bestFit="1" customWidth="1"/>
    <col min="2051" max="2051" width="19.25" style="368" customWidth="1"/>
    <col min="2052" max="2052" width="40.875" style="368" customWidth="1"/>
    <col min="2053" max="2053" width="5.5" style="368" bestFit="1" customWidth="1"/>
    <col min="2054" max="2054" width="19.25" style="368" customWidth="1"/>
    <col min="2055" max="2055" width="9" style="368"/>
    <col min="2056" max="2056" width="13" style="368" bestFit="1" customWidth="1"/>
    <col min="2057" max="2304" width="9" style="368"/>
    <col min="2305" max="2305" width="40.875" style="368" customWidth="1"/>
    <col min="2306" max="2306" width="5.5" style="368" bestFit="1" customWidth="1"/>
    <col min="2307" max="2307" width="19.25" style="368" customWidth="1"/>
    <col min="2308" max="2308" width="40.875" style="368" customWidth="1"/>
    <col min="2309" max="2309" width="5.5" style="368" bestFit="1" customWidth="1"/>
    <col min="2310" max="2310" width="19.25" style="368" customWidth="1"/>
    <col min="2311" max="2311" width="9" style="368"/>
    <col min="2312" max="2312" width="13" style="368" bestFit="1" customWidth="1"/>
    <col min="2313" max="2560" width="9" style="368"/>
    <col min="2561" max="2561" width="40.875" style="368" customWidth="1"/>
    <col min="2562" max="2562" width="5.5" style="368" bestFit="1" customWidth="1"/>
    <col min="2563" max="2563" width="19.25" style="368" customWidth="1"/>
    <col min="2564" max="2564" width="40.875" style="368" customWidth="1"/>
    <col min="2565" max="2565" width="5.5" style="368" bestFit="1" customWidth="1"/>
    <col min="2566" max="2566" width="19.25" style="368" customWidth="1"/>
    <col min="2567" max="2567" width="9" style="368"/>
    <col min="2568" max="2568" width="13" style="368" bestFit="1" customWidth="1"/>
    <col min="2569" max="2816" width="9" style="368"/>
    <col min="2817" max="2817" width="40.875" style="368" customWidth="1"/>
    <col min="2818" max="2818" width="5.5" style="368" bestFit="1" customWidth="1"/>
    <col min="2819" max="2819" width="19.25" style="368" customWidth="1"/>
    <col min="2820" max="2820" width="40.875" style="368" customWidth="1"/>
    <col min="2821" max="2821" width="5.5" style="368" bestFit="1" customWidth="1"/>
    <col min="2822" max="2822" width="19.25" style="368" customWidth="1"/>
    <col min="2823" max="2823" width="9" style="368"/>
    <col min="2824" max="2824" width="13" style="368" bestFit="1" customWidth="1"/>
    <col min="2825" max="3072" width="9" style="368"/>
    <col min="3073" max="3073" width="40.875" style="368" customWidth="1"/>
    <col min="3074" max="3074" width="5.5" style="368" bestFit="1" customWidth="1"/>
    <col min="3075" max="3075" width="19.25" style="368" customWidth="1"/>
    <col min="3076" max="3076" width="40.875" style="368" customWidth="1"/>
    <col min="3077" max="3077" width="5.5" style="368" bestFit="1" customWidth="1"/>
    <col min="3078" max="3078" width="19.25" style="368" customWidth="1"/>
    <col min="3079" max="3079" width="9" style="368"/>
    <col min="3080" max="3080" width="13" style="368" bestFit="1" customWidth="1"/>
    <col min="3081" max="3328" width="9" style="368"/>
    <col min="3329" max="3329" width="40.875" style="368" customWidth="1"/>
    <col min="3330" max="3330" width="5.5" style="368" bestFit="1" customWidth="1"/>
    <col min="3331" max="3331" width="19.25" style="368" customWidth="1"/>
    <col min="3332" max="3332" width="40.875" style="368" customWidth="1"/>
    <col min="3333" max="3333" width="5.5" style="368" bestFit="1" customWidth="1"/>
    <col min="3334" max="3334" width="19.25" style="368" customWidth="1"/>
    <col min="3335" max="3335" width="9" style="368"/>
    <col min="3336" max="3336" width="13" style="368" bestFit="1" customWidth="1"/>
    <col min="3337" max="3584" width="9" style="368"/>
    <col min="3585" max="3585" width="40.875" style="368" customWidth="1"/>
    <col min="3586" max="3586" width="5.5" style="368" bestFit="1" customWidth="1"/>
    <col min="3587" max="3587" width="19.25" style="368" customWidth="1"/>
    <col min="3588" max="3588" width="40.875" style="368" customWidth="1"/>
    <col min="3589" max="3589" width="5.5" style="368" bestFit="1" customWidth="1"/>
    <col min="3590" max="3590" width="19.25" style="368" customWidth="1"/>
    <col min="3591" max="3591" width="9" style="368"/>
    <col min="3592" max="3592" width="13" style="368" bestFit="1" customWidth="1"/>
    <col min="3593" max="3840" width="9" style="368"/>
    <col min="3841" max="3841" width="40.875" style="368" customWidth="1"/>
    <col min="3842" max="3842" width="5.5" style="368" bestFit="1" customWidth="1"/>
    <col min="3843" max="3843" width="19.25" style="368" customWidth="1"/>
    <col min="3844" max="3844" width="40.875" style="368" customWidth="1"/>
    <col min="3845" max="3845" width="5.5" style="368" bestFit="1" customWidth="1"/>
    <col min="3846" max="3846" width="19.25" style="368" customWidth="1"/>
    <col min="3847" max="3847" width="9" style="368"/>
    <col min="3848" max="3848" width="13" style="368" bestFit="1" customWidth="1"/>
    <col min="3849" max="4096" width="9" style="368"/>
    <col min="4097" max="4097" width="40.875" style="368" customWidth="1"/>
    <col min="4098" max="4098" width="5.5" style="368" bestFit="1" customWidth="1"/>
    <col min="4099" max="4099" width="19.25" style="368" customWidth="1"/>
    <col min="4100" max="4100" width="40.875" style="368" customWidth="1"/>
    <col min="4101" max="4101" width="5.5" style="368" bestFit="1" customWidth="1"/>
    <col min="4102" max="4102" width="19.25" style="368" customWidth="1"/>
    <col min="4103" max="4103" width="9" style="368"/>
    <col min="4104" max="4104" width="13" style="368" bestFit="1" customWidth="1"/>
    <col min="4105" max="4352" width="9" style="368"/>
    <col min="4353" max="4353" width="40.875" style="368" customWidth="1"/>
    <col min="4354" max="4354" width="5.5" style="368" bestFit="1" customWidth="1"/>
    <col min="4355" max="4355" width="19.25" style="368" customWidth="1"/>
    <col min="4356" max="4356" width="40.875" style="368" customWidth="1"/>
    <col min="4357" max="4357" width="5.5" style="368" bestFit="1" customWidth="1"/>
    <col min="4358" max="4358" width="19.25" style="368" customWidth="1"/>
    <col min="4359" max="4359" width="9" style="368"/>
    <col min="4360" max="4360" width="13" style="368" bestFit="1" customWidth="1"/>
    <col min="4361" max="4608" width="9" style="368"/>
    <col min="4609" max="4609" width="40.875" style="368" customWidth="1"/>
    <col min="4610" max="4610" width="5.5" style="368" bestFit="1" customWidth="1"/>
    <col min="4611" max="4611" width="19.25" style="368" customWidth="1"/>
    <col min="4612" max="4612" width="40.875" style="368" customWidth="1"/>
    <col min="4613" max="4613" width="5.5" style="368" bestFit="1" customWidth="1"/>
    <col min="4614" max="4614" width="19.25" style="368" customWidth="1"/>
    <col min="4615" max="4615" width="9" style="368"/>
    <col min="4616" max="4616" width="13" style="368" bestFit="1" customWidth="1"/>
    <col min="4617" max="4864" width="9" style="368"/>
    <col min="4865" max="4865" width="40.875" style="368" customWidth="1"/>
    <col min="4866" max="4866" width="5.5" style="368" bestFit="1" customWidth="1"/>
    <col min="4867" max="4867" width="19.25" style="368" customWidth="1"/>
    <col min="4868" max="4868" width="40.875" style="368" customWidth="1"/>
    <col min="4869" max="4869" width="5.5" style="368" bestFit="1" customWidth="1"/>
    <col min="4870" max="4870" width="19.25" style="368" customWidth="1"/>
    <col min="4871" max="4871" width="9" style="368"/>
    <col min="4872" max="4872" width="13" style="368" bestFit="1" customWidth="1"/>
    <col min="4873" max="5120" width="9" style="368"/>
    <col min="5121" max="5121" width="40.875" style="368" customWidth="1"/>
    <col min="5122" max="5122" width="5.5" style="368" bestFit="1" customWidth="1"/>
    <col min="5123" max="5123" width="19.25" style="368" customWidth="1"/>
    <col min="5124" max="5124" width="40.875" style="368" customWidth="1"/>
    <col min="5125" max="5125" width="5.5" style="368" bestFit="1" customWidth="1"/>
    <col min="5126" max="5126" width="19.25" style="368" customWidth="1"/>
    <col min="5127" max="5127" width="9" style="368"/>
    <col min="5128" max="5128" width="13" style="368" bestFit="1" customWidth="1"/>
    <col min="5129" max="5376" width="9" style="368"/>
    <col min="5377" max="5377" width="40.875" style="368" customWidth="1"/>
    <col min="5378" max="5378" width="5.5" style="368" bestFit="1" customWidth="1"/>
    <col min="5379" max="5379" width="19.25" style="368" customWidth="1"/>
    <col min="5380" max="5380" width="40.875" style="368" customWidth="1"/>
    <col min="5381" max="5381" width="5.5" style="368" bestFit="1" customWidth="1"/>
    <col min="5382" max="5382" width="19.25" style="368" customWidth="1"/>
    <col min="5383" max="5383" width="9" style="368"/>
    <col min="5384" max="5384" width="13" style="368" bestFit="1" customWidth="1"/>
    <col min="5385" max="5632" width="9" style="368"/>
    <col min="5633" max="5633" width="40.875" style="368" customWidth="1"/>
    <col min="5634" max="5634" width="5.5" style="368" bestFit="1" customWidth="1"/>
    <col min="5635" max="5635" width="19.25" style="368" customWidth="1"/>
    <col min="5636" max="5636" width="40.875" style="368" customWidth="1"/>
    <col min="5637" max="5637" width="5.5" style="368" bestFit="1" customWidth="1"/>
    <col min="5638" max="5638" width="19.25" style="368" customWidth="1"/>
    <col min="5639" max="5639" width="9" style="368"/>
    <col min="5640" max="5640" width="13" style="368" bestFit="1" customWidth="1"/>
    <col min="5641" max="5888" width="9" style="368"/>
    <col min="5889" max="5889" width="40.875" style="368" customWidth="1"/>
    <col min="5890" max="5890" width="5.5" style="368" bestFit="1" customWidth="1"/>
    <col min="5891" max="5891" width="19.25" style="368" customWidth="1"/>
    <col min="5892" max="5892" width="40.875" style="368" customWidth="1"/>
    <col min="5893" max="5893" width="5.5" style="368" bestFit="1" customWidth="1"/>
    <col min="5894" max="5894" width="19.25" style="368" customWidth="1"/>
    <col min="5895" max="5895" width="9" style="368"/>
    <col min="5896" max="5896" width="13" style="368" bestFit="1" customWidth="1"/>
    <col min="5897" max="6144" width="9" style="368"/>
    <col min="6145" max="6145" width="40.875" style="368" customWidth="1"/>
    <col min="6146" max="6146" width="5.5" style="368" bestFit="1" customWidth="1"/>
    <col min="6147" max="6147" width="19.25" style="368" customWidth="1"/>
    <col min="6148" max="6148" width="40.875" style="368" customWidth="1"/>
    <col min="6149" max="6149" width="5.5" style="368" bestFit="1" customWidth="1"/>
    <col min="6150" max="6150" width="19.25" style="368" customWidth="1"/>
    <col min="6151" max="6151" width="9" style="368"/>
    <col min="6152" max="6152" width="13" style="368" bestFit="1" customWidth="1"/>
    <col min="6153" max="6400" width="9" style="368"/>
    <col min="6401" max="6401" width="40.875" style="368" customWidth="1"/>
    <col min="6402" max="6402" width="5.5" style="368" bestFit="1" customWidth="1"/>
    <col min="6403" max="6403" width="19.25" style="368" customWidth="1"/>
    <col min="6404" max="6404" width="40.875" style="368" customWidth="1"/>
    <col min="6405" max="6405" width="5.5" style="368" bestFit="1" customWidth="1"/>
    <col min="6406" max="6406" width="19.25" style="368" customWidth="1"/>
    <col min="6407" max="6407" width="9" style="368"/>
    <col min="6408" max="6408" width="13" style="368" bestFit="1" customWidth="1"/>
    <col min="6409" max="6656" width="9" style="368"/>
    <col min="6657" max="6657" width="40.875" style="368" customWidth="1"/>
    <col min="6658" max="6658" width="5.5" style="368" bestFit="1" customWidth="1"/>
    <col min="6659" max="6659" width="19.25" style="368" customWidth="1"/>
    <col min="6660" max="6660" width="40.875" style="368" customWidth="1"/>
    <col min="6661" max="6661" width="5.5" style="368" bestFit="1" customWidth="1"/>
    <col min="6662" max="6662" width="19.25" style="368" customWidth="1"/>
    <col min="6663" max="6663" width="9" style="368"/>
    <col min="6664" max="6664" width="13" style="368" bestFit="1" customWidth="1"/>
    <col min="6665" max="6912" width="9" style="368"/>
    <col min="6913" max="6913" width="40.875" style="368" customWidth="1"/>
    <col min="6914" max="6914" width="5.5" style="368" bestFit="1" customWidth="1"/>
    <col min="6915" max="6915" width="19.25" style="368" customWidth="1"/>
    <col min="6916" max="6916" width="40.875" style="368" customWidth="1"/>
    <col min="6917" max="6917" width="5.5" style="368" bestFit="1" customWidth="1"/>
    <col min="6918" max="6918" width="19.25" style="368" customWidth="1"/>
    <col min="6919" max="6919" width="9" style="368"/>
    <col min="6920" max="6920" width="13" style="368" bestFit="1" customWidth="1"/>
    <col min="6921" max="7168" width="9" style="368"/>
    <col min="7169" max="7169" width="40.875" style="368" customWidth="1"/>
    <col min="7170" max="7170" width="5.5" style="368" bestFit="1" customWidth="1"/>
    <col min="7171" max="7171" width="19.25" style="368" customWidth="1"/>
    <col min="7172" max="7172" width="40.875" style="368" customWidth="1"/>
    <col min="7173" max="7173" width="5.5" style="368" bestFit="1" customWidth="1"/>
    <col min="7174" max="7174" width="19.25" style="368" customWidth="1"/>
    <col min="7175" max="7175" width="9" style="368"/>
    <col min="7176" max="7176" width="13" style="368" bestFit="1" customWidth="1"/>
    <col min="7177" max="7424" width="9" style="368"/>
    <col min="7425" max="7425" width="40.875" style="368" customWidth="1"/>
    <col min="7426" max="7426" width="5.5" style="368" bestFit="1" customWidth="1"/>
    <col min="7427" max="7427" width="19.25" style="368" customWidth="1"/>
    <col min="7428" max="7428" width="40.875" style="368" customWidth="1"/>
    <col min="7429" max="7429" width="5.5" style="368" bestFit="1" customWidth="1"/>
    <col min="7430" max="7430" width="19.25" style="368" customWidth="1"/>
    <col min="7431" max="7431" width="9" style="368"/>
    <col min="7432" max="7432" width="13" style="368" bestFit="1" customWidth="1"/>
    <col min="7433" max="7680" width="9" style="368"/>
    <col min="7681" max="7681" width="40.875" style="368" customWidth="1"/>
    <col min="7682" max="7682" width="5.5" style="368" bestFit="1" customWidth="1"/>
    <col min="7683" max="7683" width="19.25" style="368" customWidth="1"/>
    <col min="7684" max="7684" width="40.875" style="368" customWidth="1"/>
    <col min="7685" max="7685" width="5.5" style="368" bestFit="1" customWidth="1"/>
    <col min="7686" max="7686" width="19.25" style="368" customWidth="1"/>
    <col min="7687" max="7687" width="9" style="368"/>
    <col min="7688" max="7688" width="13" style="368" bestFit="1" customWidth="1"/>
    <col min="7689" max="7936" width="9" style="368"/>
    <col min="7937" max="7937" width="40.875" style="368" customWidth="1"/>
    <col min="7938" max="7938" width="5.5" style="368" bestFit="1" customWidth="1"/>
    <col min="7939" max="7939" width="19.25" style="368" customWidth="1"/>
    <col min="7940" max="7940" width="40.875" style="368" customWidth="1"/>
    <col min="7941" max="7941" width="5.5" style="368" bestFit="1" customWidth="1"/>
    <col min="7942" max="7942" width="19.25" style="368" customWidth="1"/>
    <col min="7943" max="7943" width="9" style="368"/>
    <col min="7944" max="7944" width="13" style="368" bestFit="1" customWidth="1"/>
    <col min="7945" max="8192" width="9" style="368"/>
    <col min="8193" max="8193" width="40.875" style="368" customWidth="1"/>
    <col min="8194" max="8194" width="5.5" style="368" bestFit="1" customWidth="1"/>
    <col min="8195" max="8195" width="19.25" style="368" customWidth="1"/>
    <col min="8196" max="8196" width="40.875" style="368" customWidth="1"/>
    <col min="8197" max="8197" width="5.5" style="368" bestFit="1" customWidth="1"/>
    <col min="8198" max="8198" width="19.25" style="368" customWidth="1"/>
    <col min="8199" max="8199" width="9" style="368"/>
    <col min="8200" max="8200" width="13" style="368" bestFit="1" customWidth="1"/>
    <col min="8201" max="8448" width="9" style="368"/>
    <col min="8449" max="8449" width="40.875" style="368" customWidth="1"/>
    <col min="8450" max="8450" width="5.5" style="368" bestFit="1" customWidth="1"/>
    <col min="8451" max="8451" width="19.25" style="368" customWidth="1"/>
    <col min="8452" max="8452" width="40.875" style="368" customWidth="1"/>
    <col min="8453" max="8453" width="5.5" style="368" bestFit="1" customWidth="1"/>
    <col min="8454" max="8454" width="19.25" style="368" customWidth="1"/>
    <col min="8455" max="8455" width="9" style="368"/>
    <col min="8456" max="8456" width="13" style="368" bestFit="1" customWidth="1"/>
    <col min="8457" max="8704" width="9" style="368"/>
    <col min="8705" max="8705" width="40.875" style="368" customWidth="1"/>
    <col min="8706" max="8706" width="5.5" style="368" bestFit="1" customWidth="1"/>
    <col min="8707" max="8707" width="19.25" style="368" customWidth="1"/>
    <col min="8708" max="8708" width="40.875" style="368" customWidth="1"/>
    <col min="8709" max="8709" width="5.5" style="368" bestFit="1" customWidth="1"/>
    <col min="8710" max="8710" width="19.25" style="368" customWidth="1"/>
    <col min="8711" max="8711" width="9" style="368"/>
    <col min="8712" max="8712" width="13" style="368" bestFit="1" customWidth="1"/>
    <col min="8713" max="8960" width="9" style="368"/>
    <col min="8961" max="8961" width="40.875" style="368" customWidth="1"/>
    <col min="8962" max="8962" width="5.5" style="368" bestFit="1" customWidth="1"/>
    <col min="8963" max="8963" width="19.25" style="368" customWidth="1"/>
    <col min="8964" max="8964" width="40.875" style="368" customWidth="1"/>
    <col min="8965" max="8965" width="5.5" style="368" bestFit="1" customWidth="1"/>
    <col min="8966" max="8966" width="19.25" style="368" customWidth="1"/>
    <col min="8967" max="8967" width="9" style="368"/>
    <col min="8968" max="8968" width="13" style="368" bestFit="1" customWidth="1"/>
    <col min="8969" max="9216" width="9" style="368"/>
    <col min="9217" max="9217" width="40.875" style="368" customWidth="1"/>
    <col min="9218" max="9218" width="5.5" style="368" bestFit="1" customWidth="1"/>
    <col min="9219" max="9219" width="19.25" style="368" customWidth="1"/>
    <col min="9220" max="9220" width="40.875" style="368" customWidth="1"/>
    <col min="9221" max="9221" width="5.5" style="368" bestFit="1" customWidth="1"/>
    <col min="9222" max="9222" width="19.25" style="368" customWidth="1"/>
    <col min="9223" max="9223" width="9" style="368"/>
    <col min="9224" max="9224" width="13" style="368" bestFit="1" customWidth="1"/>
    <col min="9225" max="9472" width="9" style="368"/>
    <col min="9473" max="9473" width="40.875" style="368" customWidth="1"/>
    <col min="9474" max="9474" width="5.5" style="368" bestFit="1" customWidth="1"/>
    <col min="9475" max="9475" width="19.25" style="368" customWidth="1"/>
    <col min="9476" max="9476" width="40.875" style="368" customWidth="1"/>
    <col min="9477" max="9477" width="5.5" style="368" bestFit="1" customWidth="1"/>
    <col min="9478" max="9478" width="19.25" style="368" customWidth="1"/>
    <col min="9479" max="9479" width="9" style="368"/>
    <col min="9480" max="9480" width="13" style="368" bestFit="1" customWidth="1"/>
    <col min="9481" max="9728" width="9" style="368"/>
    <col min="9729" max="9729" width="40.875" style="368" customWidth="1"/>
    <col min="9730" max="9730" width="5.5" style="368" bestFit="1" customWidth="1"/>
    <col min="9731" max="9731" width="19.25" style="368" customWidth="1"/>
    <col min="9732" max="9732" width="40.875" style="368" customWidth="1"/>
    <col min="9733" max="9733" width="5.5" style="368" bestFit="1" customWidth="1"/>
    <col min="9734" max="9734" width="19.25" style="368" customWidth="1"/>
    <col min="9735" max="9735" width="9" style="368"/>
    <col min="9736" max="9736" width="13" style="368" bestFit="1" customWidth="1"/>
    <col min="9737" max="9984" width="9" style="368"/>
    <col min="9985" max="9985" width="40.875" style="368" customWidth="1"/>
    <col min="9986" max="9986" width="5.5" style="368" bestFit="1" customWidth="1"/>
    <col min="9987" max="9987" width="19.25" style="368" customWidth="1"/>
    <col min="9988" max="9988" width="40.875" style="368" customWidth="1"/>
    <col min="9989" max="9989" width="5.5" style="368" bestFit="1" customWidth="1"/>
    <col min="9990" max="9990" width="19.25" style="368" customWidth="1"/>
    <col min="9991" max="9991" width="9" style="368"/>
    <col min="9992" max="9992" width="13" style="368" bestFit="1" customWidth="1"/>
    <col min="9993" max="10240" width="9" style="368"/>
    <col min="10241" max="10241" width="40.875" style="368" customWidth="1"/>
    <col min="10242" max="10242" width="5.5" style="368" bestFit="1" customWidth="1"/>
    <col min="10243" max="10243" width="19.25" style="368" customWidth="1"/>
    <col min="10244" max="10244" width="40.875" style="368" customWidth="1"/>
    <col min="10245" max="10245" width="5.5" style="368" bestFit="1" customWidth="1"/>
    <col min="10246" max="10246" width="19.25" style="368" customWidth="1"/>
    <col min="10247" max="10247" width="9" style="368"/>
    <col min="10248" max="10248" width="13" style="368" bestFit="1" customWidth="1"/>
    <col min="10249" max="10496" width="9" style="368"/>
    <col min="10497" max="10497" width="40.875" style="368" customWidth="1"/>
    <col min="10498" max="10498" width="5.5" style="368" bestFit="1" customWidth="1"/>
    <col min="10499" max="10499" width="19.25" style="368" customWidth="1"/>
    <col min="10500" max="10500" width="40.875" style="368" customWidth="1"/>
    <col min="10501" max="10501" width="5.5" style="368" bestFit="1" customWidth="1"/>
    <col min="10502" max="10502" width="19.25" style="368" customWidth="1"/>
    <col min="10503" max="10503" width="9" style="368"/>
    <col min="10504" max="10504" width="13" style="368" bestFit="1" customWidth="1"/>
    <col min="10505" max="10752" width="9" style="368"/>
    <col min="10753" max="10753" width="40.875" style="368" customWidth="1"/>
    <col min="10754" max="10754" width="5.5" style="368" bestFit="1" customWidth="1"/>
    <col min="10755" max="10755" width="19.25" style="368" customWidth="1"/>
    <col min="10756" max="10756" width="40.875" style="368" customWidth="1"/>
    <col min="10757" max="10757" width="5.5" style="368" bestFit="1" customWidth="1"/>
    <col min="10758" max="10758" width="19.25" style="368" customWidth="1"/>
    <col min="10759" max="10759" width="9" style="368"/>
    <col min="10760" max="10760" width="13" style="368" bestFit="1" customWidth="1"/>
    <col min="10761" max="11008" width="9" style="368"/>
    <col min="11009" max="11009" width="40.875" style="368" customWidth="1"/>
    <col min="11010" max="11010" width="5.5" style="368" bestFit="1" customWidth="1"/>
    <col min="11011" max="11011" width="19.25" style="368" customWidth="1"/>
    <col min="11012" max="11012" width="40.875" style="368" customWidth="1"/>
    <col min="11013" max="11013" width="5.5" style="368" bestFit="1" customWidth="1"/>
    <col min="11014" max="11014" width="19.25" style="368" customWidth="1"/>
    <col min="11015" max="11015" width="9" style="368"/>
    <col min="11016" max="11016" width="13" style="368" bestFit="1" customWidth="1"/>
    <col min="11017" max="11264" width="9" style="368"/>
    <col min="11265" max="11265" width="40.875" style="368" customWidth="1"/>
    <col min="11266" max="11266" width="5.5" style="368" bestFit="1" customWidth="1"/>
    <col min="11267" max="11267" width="19.25" style="368" customWidth="1"/>
    <col min="11268" max="11268" width="40.875" style="368" customWidth="1"/>
    <col min="11269" max="11269" width="5.5" style="368" bestFit="1" customWidth="1"/>
    <col min="11270" max="11270" width="19.25" style="368" customWidth="1"/>
    <col min="11271" max="11271" width="9" style="368"/>
    <col min="11272" max="11272" width="13" style="368" bestFit="1" customWidth="1"/>
    <col min="11273" max="11520" width="9" style="368"/>
    <col min="11521" max="11521" width="40.875" style="368" customWidth="1"/>
    <col min="11522" max="11522" width="5.5" style="368" bestFit="1" customWidth="1"/>
    <col min="11523" max="11523" width="19.25" style="368" customWidth="1"/>
    <col min="11524" max="11524" width="40.875" style="368" customWidth="1"/>
    <col min="11525" max="11525" width="5.5" style="368" bestFit="1" customWidth="1"/>
    <col min="11526" max="11526" width="19.25" style="368" customWidth="1"/>
    <col min="11527" max="11527" width="9" style="368"/>
    <col min="11528" max="11528" width="13" style="368" bestFit="1" customWidth="1"/>
    <col min="11529" max="11776" width="9" style="368"/>
    <col min="11777" max="11777" width="40.875" style="368" customWidth="1"/>
    <col min="11778" max="11778" width="5.5" style="368" bestFit="1" customWidth="1"/>
    <col min="11779" max="11779" width="19.25" style="368" customWidth="1"/>
    <col min="11780" max="11780" width="40.875" style="368" customWidth="1"/>
    <col min="11781" max="11781" width="5.5" style="368" bestFit="1" customWidth="1"/>
    <col min="11782" max="11782" width="19.25" style="368" customWidth="1"/>
    <col min="11783" max="11783" width="9" style="368"/>
    <col min="11784" max="11784" width="13" style="368" bestFit="1" customWidth="1"/>
    <col min="11785" max="12032" width="9" style="368"/>
    <col min="12033" max="12033" width="40.875" style="368" customWidth="1"/>
    <col min="12034" max="12034" width="5.5" style="368" bestFit="1" customWidth="1"/>
    <col min="12035" max="12035" width="19.25" style="368" customWidth="1"/>
    <col min="12036" max="12036" width="40.875" style="368" customWidth="1"/>
    <col min="12037" max="12037" width="5.5" style="368" bestFit="1" customWidth="1"/>
    <col min="12038" max="12038" width="19.25" style="368" customWidth="1"/>
    <col min="12039" max="12039" width="9" style="368"/>
    <col min="12040" max="12040" width="13" style="368" bestFit="1" customWidth="1"/>
    <col min="12041" max="12288" width="9" style="368"/>
    <col min="12289" max="12289" width="40.875" style="368" customWidth="1"/>
    <col min="12290" max="12290" width="5.5" style="368" bestFit="1" customWidth="1"/>
    <col min="12291" max="12291" width="19.25" style="368" customWidth="1"/>
    <col min="12292" max="12292" width="40.875" style="368" customWidth="1"/>
    <col min="12293" max="12293" width="5.5" style="368" bestFit="1" customWidth="1"/>
    <col min="12294" max="12294" width="19.25" style="368" customWidth="1"/>
    <col min="12295" max="12295" width="9" style="368"/>
    <col min="12296" max="12296" width="13" style="368" bestFit="1" customWidth="1"/>
    <col min="12297" max="12544" width="9" style="368"/>
    <col min="12545" max="12545" width="40.875" style="368" customWidth="1"/>
    <col min="12546" max="12546" width="5.5" style="368" bestFit="1" customWidth="1"/>
    <col min="12547" max="12547" width="19.25" style="368" customWidth="1"/>
    <col min="12548" max="12548" width="40.875" style="368" customWidth="1"/>
    <col min="12549" max="12549" width="5.5" style="368" bestFit="1" customWidth="1"/>
    <col min="12550" max="12550" width="19.25" style="368" customWidth="1"/>
    <col min="12551" max="12551" width="9" style="368"/>
    <col min="12552" max="12552" width="13" style="368" bestFit="1" customWidth="1"/>
    <col min="12553" max="12800" width="9" style="368"/>
    <col min="12801" max="12801" width="40.875" style="368" customWidth="1"/>
    <col min="12802" max="12802" width="5.5" style="368" bestFit="1" customWidth="1"/>
    <col min="12803" max="12803" width="19.25" style="368" customWidth="1"/>
    <col min="12804" max="12804" width="40.875" style="368" customWidth="1"/>
    <col min="12805" max="12805" width="5.5" style="368" bestFit="1" customWidth="1"/>
    <col min="12806" max="12806" width="19.25" style="368" customWidth="1"/>
    <col min="12807" max="12807" width="9" style="368"/>
    <col min="12808" max="12808" width="13" style="368" bestFit="1" customWidth="1"/>
    <col min="12809" max="13056" width="9" style="368"/>
    <col min="13057" max="13057" width="40.875" style="368" customWidth="1"/>
    <col min="13058" max="13058" width="5.5" style="368" bestFit="1" customWidth="1"/>
    <col min="13059" max="13059" width="19.25" style="368" customWidth="1"/>
    <col min="13060" max="13060" width="40.875" style="368" customWidth="1"/>
    <col min="13061" max="13061" width="5.5" style="368" bestFit="1" customWidth="1"/>
    <col min="13062" max="13062" width="19.25" style="368" customWidth="1"/>
    <col min="13063" max="13063" width="9" style="368"/>
    <col min="13064" max="13064" width="13" style="368" bestFit="1" customWidth="1"/>
    <col min="13065" max="13312" width="9" style="368"/>
    <col min="13313" max="13313" width="40.875" style="368" customWidth="1"/>
    <col min="13314" max="13314" width="5.5" style="368" bestFit="1" customWidth="1"/>
    <col min="13315" max="13315" width="19.25" style="368" customWidth="1"/>
    <col min="13316" max="13316" width="40.875" style="368" customWidth="1"/>
    <col min="13317" max="13317" width="5.5" style="368" bestFit="1" customWidth="1"/>
    <col min="13318" max="13318" width="19.25" style="368" customWidth="1"/>
    <col min="13319" max="13319" width="9" style="368"/>
    <col min="13320" max="13320" width="13" style="368" bestFit="1" customWidth="1"/>
    <col min="13321" max="13568" width="9" style="368"/>
    <col min="13569" max="13569" width="40.875" style="368" customWidth="1"/>
    <col min="13570" max="13570" width="5.5" style="368" bestFit="1" customWidth="1"/>
    <col min="13571" max="13571" width="19.25" style="368" customWidth="1"/>
    <col min="13572" max="13572" width="40.875" style="368" customWidth="1"/>
    <col min="13573" max="13573" width="5.5" style="368" bestFit="1" customWidth="1"/>
    <col min="13574" max="13574" width="19.25" style="368" customWidth="1"/>
    <col min="13575" max="13575" width="9" style="368"/>
    <col min="13576" max="13576" width="13" style="368" bestFit="1" customWidth="1"/>
    <col min="13577" max="13824" width="9" style="368"/>
    <col min="13825" max="13825" width="40.875" style="368" customWidth="1"/>
    <col min="13826" max="13826" width="5.5" style="368" bestFit="1" customWidth="1"/>
    <col min="13827" max="13827" width="19.25" style="368" customWidth="1"/>
    <col min="13828" max="13828" width="40.875" style="368" customWidth="1"/>
    <col min="13829" max="13829" width="5.5" style="368" bestFit="1" customWidth="1"/>
    <col min="13830" max="13830" width="19.25" style="368" customWidth="1"/>
    <col min="13831" max="13831" width="9" style="368"/>
    <col min="13832" max="13832" width="13" style="368" bestFit="1" customWidth="1"/>
    <col min="13833" max="14080" width="9" style="368"/>
    <col min="14081" max="14081" width="40.875" style="368" customWidth="1"/>
    <col min="14082" max="14082" width="5.5" style="368" bestFit="1" customWidth="1"/>
    <col min="14083" max="14083" width="19.25" style="368" customWidth="1"/>
    <col min="14084" max="14084" width="40.875" style="368" customWidth="1"/>
    <col min="14085" max="14085" width="5.5" style="368" bestFit="1" customWidth="1"/>
    <col min="14086" max="14086" width="19.25" style="368" customWidth="1"/>
    <col min="14087" max="14087" width="9" style="368"/>
    <col min="14088" max="14088" width="13" style="368" bestFit="1" customWidth="1"/>
    <col min="14089" max="14336" width="9" style="368"/>
    <col min="14337" max="14337" width="40.875" style="368" customWidth="1"/>
    <col min="14338" max="14338" width="5.5" style="368" bestFit="1" customWidth="1"/>
    <col min="14339" max="14339" width="19.25" style="368" customWidth="1"/>
    <col min="14340" max="14340" width="40.875" style="368" customWidth="1"/>
    <col min="14341" max="14341" width="5.5" style="368" bestFit="1" customWidth="1"/>
    <col min="14342" max="14342" width="19.25" style="368" customWidth="1"/>
    <col min="14343" max="14343" width="9" style="368"/>
    <col min="14344" max="14344" width="13" style="368" bestFit="1" customWidth="1"/>
    <col min="14345" max="14592" width="9" style="368"/>
    <col min="14593" max="14593" width="40.875" style="368" customWidth="1"/>
    <col min="14594" max="14594" width="5.5" style="368" bestFit="1" customWidth="1"/>
    <col min="14595" max="14595" width="19.25" style="368" customWidth="1"/>
    <col min="14596" max="14596" width="40.875" style="368" customWidth="1"/>
    <col min="14597" max="14597" width="5.5" style="368" bestFit="1" customWidth="1"/>
    <col min="14598" max="14598" width="19.25" style="368" customWidth="1"/>
    <col min="14599" max="14599" width="9" style="368"/>
    <col min="14600" max="14600" width="13" style="368" bestFit="1" customWidth="1"/>
    <col min="14601" max="14848" width="9" style="368"/>
    <col min="14849" max="14849" width="40.875" style="368" customWidth="1"/>
    <col min="14850" max="14850" width="5.5" style="368" bestFit="1" customWidth="1"/>
    <col min="14851" max="14851" width="19.25" style="368" customWidth="1"/>
    <col min="14852" max="14852" width="40.875" style="368" customWidth="1"/>
    <col min="14853" max="14853" width="5.5" style="368" bestFit="1" customWidth="1"/>
    <col min="14854" max="14854" width="19.25" style="368" customWidth="1"/>
    <col min="14855" max="14855" width="9" style="368"/>
    <col min="14856" max="14856" width="13" style="368" bestFit="1" customWidth="1"/>
    <col min="14857" max="15104" width="9" style="368"/>
    <col min="15105" max="15105" width="40.875" style="368" customWidth="1"/>
    <col min="15106" max="15106" width="5.5" style="368" bestFit="1" customWidth="1"/>
    <col min="15107" max="15107" width="19.25" style="368" customWidth="1"/>
    <col min="15108" max="15108" width="40.875" style="368" customWidth="1"/>
    <col min="15109" max="15109" width="5.5" style="368" bestFit="1" customWidth="1"/>
    <col min="15110" max="15110" width="19.25" style="368" customWidth="1"/>
    <col min="15111" max="15111" width="9" style="368"/>
    <col min="15112" max="15112" width="13" style="368" bestFit="1" customWidth="1"/>
    <col min="15113" max="15360" width="9" style="368"/>
    <col min="15361" max="15361" width="40.875" style="368" customWidth="1"/>
    <col min="15362" max="15362" width="5.5" style="368" bestFit="1" customWidth="1"/>
    <col min="15363" max="15363" width="19.25" style="368" customWidth="1"/>
    <col min="15364" max="15364" width="40.875" style="368" customWidth="1"/>
    <col min="15365" max="15365" width="5.5" style="368" bestFit="1" customWidth="1"/>
    <col min="15366" max="15366" width="19.25" style="368" customWidth="1"/>
    <col min="15367" max="15367" width="9" style="368"/>
    <col min="15368" max="15368" width="13" style="368" bestFit="1" customWidth="1"/>
    <col min="15369" max="15616" width="9" style="368"/>
    <col min="15617" max="15617" width="40.875" style="368" customWidth="1"/>
    <col min="15618" max="15618" width="5.5" style="368" bestFit="1" customWidth="1"/>
    <col min="15619" max="15619" width="19.25" style="368" customWidth="1"/>
    <col min="15620" max="15620" width="40.875" style="368" customWidth="1"/>
    <col min="15621" max="15621" width="5.5" style="368" bestFit="1" customWidth="1"/>
    <col min="15622" max="15622" width="19.25" style="368" customWidth="1"/>
    <col min="15623" max="15623" width="9" style="368"/>
    <col min="15624" max="15624" width="13" style="368" bestFit="1" customWidth="1"/>
    <col min="15625" max="15872" width="9" style="368"/>
    <col min="15873" max="15873" width="40.875" style="368" customWidth="1"/>
    <col min="15874" max="15874" width="5.5" style="368" bestFit="1" customWidth="1"/>
    <col min="15875" max="15875" width="19.25" style="368" customWidth="1"/>
    <col min="15876" max="15876" width="40.875" style="368" customWidth="1"/>
    <col min="15877" max="15877" width="5.5" style="368" bestFit="1" customWidth="1"/>
    <col min="15878" max="15878" width="19.25" style="368" customWidth="1"/>
    <col min="15879" max="15879" width="9" style="368"/>
    <col min="15880" max="15880" width="13" style="368" bestFit="1" customWidth="1"/>
    <col min="15881" max="16128" width="9" style="368"/>
    <col min="16129" max="16129" width="40.875" style="368" customWidth="1"/>
    <col min="16130" max="16130" width="5.5" style="368" bestFit="1" customWidth="1"/>
    <col min="16131" max="16131" width="19.25" style="368" customWidth="1"/>
    <col min="16132" max="16132" width="40.875" style="368" customWidth="1"/>
    <col min="16133" max="16133" width="5.5" style="368" bestFit="1" customWidth="1"/>
    <col min="16134" max="16134" width="19.25" style="368" customWidth="1"/>
    <col min="16135" max="16135" width="9" style="368"/>
    <col min="16136" max="16136" width="13" style="368" bestFit="1" customWidth="1"/>
    <col min="16137" max="16384" width="9" style="368"/>
  </cols>
  <sheetData>
    <row r="1" spans="1:6" ht="36.75">
      <c r="A1" s="731" t="s">
        <v>1787</v>
      </c>
      <c r="B1" s="731"/>
      <c r="C1" s="731"/>
      <c r="D1" s="731"/>
      <c r="E1" s="731"/>
      <c r="F1" s="731"/>
    </row>
    <row r="2" spans="1:6" ht="19.899999999999999" customHeight="1" thickBot="1">
      <c r="A2" s="343" t="s">
        <v>1526</v>
      </c>
      <c r="B2" s="460"/>
      <c r="C2" s="461"/>
      <c r="D2" s="461"/>
      <c r="E2" s="461"/>
      <c r="F2" s="394" t="s">
        <v>1788</v>
      </c>
    </row>
    <row r="3" spans="1:6" s="466" customFormat="1" ht="19.899999999999999" customHeight="1" thickBot="1">
      <c r="A3" s="400" t="s">
        <v>1528</v>
      </c>
      <c r="B3" s="462" t="s">
        <v>1789</v>
      </c>
      <c r="C3" s="395" t="s">
        <v>1790</v>
      </c>
      <c r="D3" s="463" t="s">
        <v>1528</v>
      </c>
      <c r="E3" s="464" t="s">
        <v>1789</v>
      </c>
      <c r="F3" s="465" t="s">
        <v>1790</v>
      </c>
    </row>
    <row r="4" spans="1:6" s="466" customFormat="1" ht="19.899999999999999" customHeight="1">
      <c r="A4" s="467" t="s">
        <v>1791</v>
      </c>
      <c r="B4" s="468" t="s">
        <v>1542</v>
      </c>
      <c r="C4" s="272" t="s">
        <v>1542</v>
      </c>
      <c r="D4" s="469" t="s">
        <v>1792</v>
      </c>
      <c r="E4" s="470" t="s">
        <v>1793</v>
      </c>
      <c r="F4" s="471"/>
    </row>
    <row r="5" spans="1:6" s="466" customFormat="1" ht="19.899999999999999" customHeight="1">
      <c r="A5" s="472" t="s">
        <v>1794</v>
      </c>
      <c r="B5" s="473" t="s">
        <v>1795</v>
      </c>
      <c r="C5" s="474">
        <f>SUM(C6:C7)</f>
        <v>9470021</v>
      </c>
      <c r="D5" s="289" t="s">
        <v>1796</v>
      </c>
      <c r="E5" s="475" t="s">
        <v>1542</v>
      </c>
      <c r="F5" s="273" t="s">
        <v>1542</v>
      </c>
    </row>
    <row r="6" spans="1:6" s="466" customFormat="1" ht="19.899999999999999" customHeight="1">
      <c r="A6" s="476" t="s">
        <v>1797</v>
      </c>
      <c r="B6" s="477" t="s">
        <v>1795</v>
      </c>
      <c r="C6" s="274">
        <v>9224778</v>
      </c>
      <c r="D6" s="478" t="s">
        <v>1798</v>
      </c>
      <c r="E6" s="475" t="s">
        <v>1542</v>
      </c>
      <c r="F6" s="275" t="s">
        <v>1542</v>
      </c>
    </row>
    <row r="7" spans="1:6" s="466" customFormat="1" ht="19.899999999999999" customHeight="1">
      <c r="A7" s="476" t="s">
        <v>1799</v>
      </c>
      <c r="B7" s="477" t="s">
        <v>1795</v>
      </c>
      <c r="C7" s="274">
        <f>SUM(C8:C9)</f>
        <v>245243</v>
      </c>
      <c r="D7" s="289" t="s">
        <v>1800</v>
      </c>
      <c r="E7" s="475" t="s">
        <v>1801</v>
      </c>
      <c r="F7" s="276">
        <v>0</v>
      </c>
    </row>
    <row r="8" spans="1:6" s="466" customFormat="1" ht="19.899999999999999" customHeight="1">
      <c r="A8" s="476" t="s">
        <v>1802</v>
      </c>
      <c r="B8" s="477" t="s">
        <v>1795</v>
      </c>
      <c r="C8" s="277">
        <v>505</v>
      </c>
      <c r="D8" s="289" t="s">
        <v>1803</v>
      </c>
      <c r="E8" s="290" t="s">
        <v>1801</v>
      </c>
      <c r="F8" s="276">
        <v>0</v>
      </c>
    </row>
    <row r="9" spans="1:6" s="466" customFormat="1" ht="19.899999999999999" customHeight="1">
      <c r="A9" s="476" t="s">
        <v>1804</v>
      </c>
      <c r="B9" s="477" t="s">
        <v>1795</v>
      </c>
      <c r="C9" s="277">
        <v>244738</v>
      </c>
      <c r="D9" s="289" t="s">
        <v>1805</v>
      </c>
      <c r="E9" s="290" t="s">
        <v>1801</v>
      </c>
      <c r="F9" s="276">
        <v>0</v>
      </c>
    </row>
    <row r="10" spans="1:6" s="466" customFormat="1" ht="19.899999999999999" customHeight="1">
      <c r="A10" s="476" t="s">
        <v>1806</v>
      </c>
      <c r="B10" s="477" t="s">
        <v>1795</v>
      </c>
      <c r="C10" s="274">
        <v>15787</v>
      </c>
      <c r="D10" s="289" t="s">
        <v>1807</v>
      </c>
      <c r="E10" s="290" t="s">
        <v>1801</v>
      </c>
      <c r="F10" s="276">
        <f>F8-F9</f>
        <v>0</v>
      </c>
    </row>
    <row r="11" spans="1:6" s="466" customFormat="1" ht="19.899999999999999" customHeight="1">
      <c r="A11" s="476" t="s">
        <v>1808</v>
      </c>
      <c r="B11" s="477" t="s">
        <v>1795</v>
      </c>
      <c r="C11" s="274">
        <v>8101563</v>
      </c>
      <c r="D11" s="289" t="s">
        <v>1809</v>
      </c>
      <c r="E11" s="290" t="s">
        <v>1801</v>
      </c>
      <c r="F11" s="276">
        <f>F7+F10</f>
        <v>0</v>
      </c>
    </row>
    <row r="12" spans="1:6" s="466" customFormat="1" ht="19.899999999999999" customHeight="1">
      <c r="A12" s="476" t="s">
        <v>1810</v>
      </c>
      <c r="B12" s="479" t="s">
        <v>1542</v>
      </c>
      <c r="C12" s="278" t="s">
        <v>1542</v>
      </c>
      <c r="D12" s="289" t="s">
        <v>1811</v>
      </c>
      <c r="E12" s="475" t="s">
        <v>1542</v>
      </c>
      <c r="F12" s="275" t="s">
        <v>1542</v>
      </c>
    </row>
    <row r="13" spans="1:6" s="466" customFormat="1" ht="19.899999999999999" customHeight="1">
      <c r="A13" s="480" t="s">
        <v>1812</v>
      </c>
      <c r="B13" s="477" t="s">
        <v>1801</v>
      </c>
      <c r="C13" s="279">
        <v>288464980000</v>
      </c>
      <c r="D13" s="289" t="s">
        <v>1800</v>
      </c>
      <c r="E13" s="290" t="s">
        <v>1801</v>
      </c>
      <c r="F13" s="276">
        <v>0</v>
      </c>
    </row>
    <row r="14" spans="1:6" s="466" customFormat="1" ht="19.899999999999999" customHeight="1">
      <c r="A14" s="480" t="s">
        <v>1813</v>
      </c>
      <c r="B14" s="477" t="s">
        <v>1801</v>
      </c>
      <c r="C14" s="279">
        <v>288464980000</v>
      </c>
      <c r="D14" s="289" t="s">
        <v>1803</v>
      </c>
      <c r="E14" s="290" t="s">
        <v>1801</v>
      </c>
      <c r="F14" s="276">
        <v>0</v>
      </c>
    </row>
    <row r="15" spans="1:6" s="481" customFormat="1" ht="19.899999999999999" customHeight="1">
      <c r="A15" s="480" t="s">
        <v>1814</v>
      </c>
      <c r="B15" s="477" t="s">
        <v>1801</v>
      </c>
      <c r="C15" s="280">
        <f>SUM(C16:C18)</f>
        <v>0</v>
      </c>
      <c r="D15" s="289" t="s">
        <v>1805</v>
      </c>
      <c r="E15" s="290" t="s">
        <v>1801</v>
      </c>
      <c r="F15" s="276">
        <v>0</v>
      </c>
    </row>
    <row r="16" spans="1:6" s="466" customFormat="1" ht="19.899999999999999" customHeight="1">
      <c r="A16" s="480" t="s">
        <v>1815</v>
      </c>
      <c r="B16" s="477" t="s">
        <v>1801</v>
      </c>
      <c r="C16" s="280">
        <v>0</v>
      </c>
      <c r="D16" s="289" t="s">
        <v>1807</v>
      </c>
      <c r="E16" s="290" t="s">
        <v>1801</v>
      </c>
      <c r="F16" s="276">
        <f>F14-F15</f>
        <v>0</v>
      </c>
    </row>
    <row r="17" spans="1:6" s="466" customFormat="1" ht="19.899999999999999" customHeight="1">
      <c r="A17" s="480" t="s">
        <v>1816</v>
      </c>
      <c r="B17" s="477" t="s">
        <v>1801</v>
      </c>
      <c r="C17" s="280">
        <v>0</v>
      </c>
      <c r="D17" s="289" t="s">
        <v>1809</v>
      </c>
      <c r="E17" s="290" t="s">
        <v>1801</v>
      </c>
      <c r="F17" s="276">
        <f>F13+F16</f>
        <v>0</v>
      </c>
    </row>
    <row r="18" spans="1:6" s="466" customFormat="1" ht="19.899999999999999" customHeight="1">
      <c r="A18" s="476" t="s">
        <v>1817</v>
      </c>
      <c r="B18" s="477" t="s">
        <v>1801</v>
      </c>
      <c r="C18" s="280">
        <v>0</v>
      </c>
      <c r="D18" s="289" t="s">
        <v>1818</v>
      </c>
      <c r="E18" s="475" t="s">
        <v>1542</v>
      </c>
      <c r="F18" s="275" t="s">
        <v>1542</v>
      </c>
    </row>
    <row r="19" spans="1:6" s="466" customFormat="1" ht="19.899999999999999" customHeight="1">
      <c r="A19" s="228" t="s">
        <v>1819</v>
      </c>
      <c r="B19" s="479" t="s">
        <v>1542</v>
      </c>
      <c r="C19" s="281" t="s">
        <v>1542</v>
      </c>
      <c r="D19" s="289" t="s">
        <v>1794</v>
      </c>
      <c r="E19" s="290" t="s">
        <v>1795</v>
      </c>
      <c r="F19" s="282">
        <f>SUM(F20:F21)</f>
        <v>0</v>
      </c>
    </row>
    <row r="20" spans="1:6" s="466" customFormat="1" ht="19.899999999999999" customHeight="1">
      <c r="A20" s="476" t="s">
        <v>1820</v>
      </c>
      <c r="B20" s="479" t="s">
        <v>1542</v>
      </c>
      <c r="C20" s="281" t="s">
        <v>1542</v>
      </c>
      <c r="D20" s="289" t="s">
        <v>1797</v>
      </c>
      <c r="E20" s="290" t="s">
        <v>1795</v>
      </c>
      <c r="F20" s="282"/>
    </row>
    <row r="21" spans="1:6" s="466" customFormat="1" ht="19.899999999999999" customHeight="1">
      <c r="A21" s="228" t="s">
        <v>1821</v>
      </c>
      <c r="B21" s="477" t="s">
        <v>1801</v>
      </c>
      <c r="C21" s="280">
        <v>107930000</v>
      </c>
      <c r="D21" s="289" t="s">
        <v>1822</v>
      </c>
      <c r="E21" s="290" t="s">
        <v>1795</v>
      </c>
      <c r="F21" s="282"/>
    </row>
    <row r="22" spans="1:6" s="466" customFormat="1" ht="19.899999999999999" customHeight="1">
      <c r="A22" s="228" t="s">
        <v>1823</v>
      </c>
      <c r="B22" s="477" t="s">
        <v>1801</v>
      </c>
      <c r="C22" s="280">
        <v>9880000</v>
      </c>
      <c r="D22" s="289" t="s">
        <v>1824</v>
      </c>
      <c r="E22" s="290" t="s">
        <v>1795</v>
      </c>
      <c r="F22" s="283"/>
    </row>
    <row r="23" spans="1:6" s="466" customFormat="1" ht="19.899999999999999" customHeight="1">
      <c r="A23" s="228" t="s">
        <v>1825</v>
      </c>
      <c r="B23" s="477" t="s">
        <v>1801</v>
      </c>
      <c r="C23" s="280">
        <v>83620000</v>
      </c>
      <c r="D23" s="289" t="s">
        <v>1808</v>
      </c>
      <c r="E23" s="290" t="s">
        <v>1795</v>
      </c>
      <c r="F23" s="282"/>
    </row>
    <row r="24" spans="1:6" s="466" customFormat="1" ht="19.899999999999999" customHeight="1">
      <c r="A24" s="228" t="s">
        <v>1826</v>
      </c>
      <c r="B24" s="477" t="s">
        <v>1801</v>
      </c>
      <c r="C24" s="280">
        <f>C21-C22+C23</f>
        <v>181670000</v>
      </c>
      <c r="D24" s="289" t="s">
        <v>1810</v>
      </c>
      <c r="E24" s="475" t="s">
        <v>1542</v>
      </c>
      <c r="F24" s="273" t="s">
        <v>1542</v>
      </c>
    </row>
    <row r="25" spans="1:6" s="466" customFormat="1" ht="19.899999999999999" customHeight="1">
      <c r="A25" s="476" t="s">
        <v>1827</v>
      </c>
      <c r="B25" s="477" t="s">
        <v>1801</v>
      </c>
      <c r="C25" s="280">
        <v>0</v>
      </c>
      <c r="D25" s="482" t="s">
        <v>1812</v>
      </c>
      <c r="E25" s="290" t="s">
        <v>1801</v>
      </c>
      <c r="F25" s="284"/>
    </row>
    <row r="26" spans="1:6" s="466" customFormat="1" ht="19.899999999999999" customHeight="1">
      <c r="A26" s="483" t="s">
        <v>1828</v>
      </c>
      <c r="B26" s="484" t="s">
        <v>1801</v>
      </c>
      <c r="C26" s="285">
        <v>0</v>
      </c>
      <c r="D26" s="482" t="s">
        <v>1813</v>
      </c>
      <c r="E26" s="290" t="s">
        <v>1801</v>
      </c>
      <c r="F26" s="284"/>
    </row>
    <row r="27" spans="1:6" s="466" customFormat="1" ht="19.899999999999999" customHeight="1">
      <c r="A27" s="485" t="s">
        <v>1829</v>
      </c>
      <c r="B27" s="486" t="s">
        <v>1542</v>
      </c>
      <c r="C27" s="286" t="s">
        <v>1542</v>
      </c>
      <c r="D27" s="482" t="s">
        <v>1830</v>
      </c>
      <c r="E27" s="475" t="s">
        <v>1831</v>
      </c>
      <c r="F27" s="276"/>
    </row>
    <row r="28" spans="1:6" s="466" customFormat="1" ht="19.899999999999999" customHeight="1">
      <c r="A28" s="487" t="s">
        <v>1832</v>
      </c>
      <c r="B28" s="477" t="s">
        <v>1801</v>
      </c>
      <c r="C28" s="280">
        <v>0</v>
      </c>
      <c r="D28" s="478" t="s">
        <v>1819</v>
      </c>
      <c r="E28" s="475" t="s">
        <v>1542</v>
      </c>
      <c r="F28" s="273" t="s">
        <v>1542</v>
      </c>
    </row>
    <row r="29" spans="1:6" s="466" customFormat="1" ht="19.899999999999999" customHeight="1">
      <c r="A29" s="476" t="s">
        <v>1833</v>
      </c>
      <c r="B29" s="477" t="s">
        <v>1801</v>
      </c>
      <c r="C29" s="280">
        <v>0</v>
      </c>
      <c r="D29" s="289" t="s">
        <v>1834</v>
      </c>
      <c r="E29" s="290" t="s">
        <v>1793</v>
      </c>
      <c r="F29" s="284"/>
    </row>
    <row r="30" spans="1:6" s="466" customFormat="1" ht="19.899999999999999" customHeight="1">
      <c r="A30" s="238" t="s">
        <v>1835</v>
      </c>
      <c r="B30" s="488" t="s">
        <v>1801</v>
      </c>
      <c r="C30" s="287">
        <v>0</v>
      </c>
      <c r="D30" s="289" t="s">
        <v>1836</v>
      </c>
      <c r="E30" s="290" t="s">
        <v>1793</v>
      </c>
      <c r="F30" s="284"/>
    </row>
    <row r="31" spans="1:6" s="466" customFormat="1" ht="19.899999999999999" customHeight="1">
      <c r="A31" s="289" t="s">
        <v>1837</v>
      </c>
      <c r="B31" s="290" t="s">
        <v>1801</v>
      </c>
      <c r="C31" s="489">
        <f>C28-C29+C30</f>
        <v>0</v>
      </c>
      <c r="D31" s="289" t="s">
        <v>1838</v>
      </c>
      <c r="E31" s="290" t="s">
        <v>1793</v>
      </c>
      <c r="F31" s="284"/>
    </row>
    <row r="32" spans="1:6" s="466" customFormat="1" ht="19.899999999999999" customHeight="1">
      <c r="A32" s="289" t="s">
        <v>1839</v>
      </c>
      <c r="B32" s="290" t="s">
        <v>1542</v>
      </c>
      <c r="C32" s="292" t="s">
        <v>1541</v>
      </c>
      <c r="D32" s="289" t="s">
        <v>1840</v>
      </c>
      <c r="E32" s="290" t="s">
        <v>1793</v>
      </c>
      <c r="F32" s="291"/>
    </row>
    <row r="33" spans="1:6" s="466" customFormat="1" ht="19.899999999999999" customHeight="1">
      <c r="A33" s="289" t="s">
        <v>1841</v>
      </c>
      <c r="B33" s="290" t="s">
        <v>1831</v>
      </c>
      <c r="C33" s="288">
        <v>383477</v>
      </c>
      <c r="D33" s="289" t="s">
        <v>1842</v>
      </c>
      <c r="E33" s="290" t="s">
        <v>1542</v>
      </c>
      <c r="F33" s="291" t="s">
        <v>1541</v>
      </c>
    </row>
    <row r="34" spans="1:6" s="466" customFormat="1" ht="19.899999999999999" customHeight="1">
      <c r="A34" s="289" t="s">
        <v>1843</v>
      </c>
      <c r="B34" s="290" t="s">
        <v>1831</v>
      </c>
      <c r="C34" s="288">
        <v>351684</v>
      </c>
      <c r="D34" s="289" t="s">
        <v>1844</v>
      </c>
      <c r="E34" s="290" t="s">
        <v>1831</v>
      </c>
      <c r="F34" s="284"/>
    </row>
    <row r="35" spans="1:6" s="466" customFormat="1" ht="19.899999999999999" customHeight="1">
      <c r="A35" s="294" t="s">
        <v>1845</v>
      </c>
      <c r="B35" s="488" t="s">
        <v>1801</v>
      </c>
      <c r="C35" s="490">
        <v>9619022327</v>
      </c>
      <c r="D35" s="289" t="s">
        <v>1846</v>
      </c>
      <c r="E35" s="290" t="s">
        <v>1793</v>
      </c>
      <c r="F35" s="284"/>
    </row>
    <row r="36" spans="1:6" s="493" customFormat="1" ht="19.899999999999999" customHeight="1">
      <c r="A36" s="289" t="s">
        <v>1847</v>
      </c>
      <c r="B36" s="290" t="s">
        <v>1542</v>
      </c>
      <c r="C36" s="292" t="s">
        <v>1541</v>
      </c>
      <c r="D36" s="289" t="s">
        <v>1848</v>
      </c>
      <c r="E36" s="491" t="s">
        <v>1793</v>
      </c>
      <c r="F36" s="492"/>
    </row>
    <row r="37" spans="1:6" s="493" customFormat="1" ht="19.899999999999999" customHeight="1">
      <c r="A37" s="289" t="s">
        <v>1844</v>
      </c>
      <c r="B37" s="290" t="s">
        <v>1831</v>
      </c>
      <c r="C37" s="288">
        <v>9470021</v>
      </c>
      <c r="D37" s="289" t="s">
        <v>1849</v>
      </c>
      <c r="E37" s="491" t="s">
        <v>1793</v>
      </c>
      <c r="F37" s="276">
        <f>SUM(F38:F39)</f>
        <v>0</v>
      </c>
    </row>
    <row r="38" spans="1:6" s="493" customFormat="1" ht="19.899999999999999" customHeight="1">
      <c r="A38" s="289" t="s">
        <v>1846</v>
      </c>
      <c r="B38" s="290" t="s">
        <v>1793</v>
      </c>
      <c r="C38" s="288">
        <v>160264964403.95001</v>
      </c>
      <c r="D38" s="289" t="s">
        <v>1850</v>
      </c>
      <c r="E38" s="491" t="s">
        <v>1793</v>
      </c>
      <c r="F38" s="293"/>
    </row>
    <row r="39" spans="1:6" s="493" customFormat="1" ht="19.899999999999999" customHeight="1">
      <c r="A39" s="289" t="s">
        <v>1851</v>
      </c>
      <c r="B39" s="290" t="s">
        <v>1542</v>
      </c>
      <c r="C39" s="292" t="s">
        <v>1541</v>
      </c>
      <c r="D39" s="289" t="s">
        <v>1852</v>
      </c>
      <c r="E39" s="491" t="s">
        <v>1793</v>
      </c>
      <c r="F39" s="494"/>
    </row>
    <row r="40" spans="1:6" s="493" customFormat="1" ht="19.899999999999999" customHeight="1">
      <c r="A40" s="289" t="s">
        <v>1853</v>
      </c>
      <c r="B40" s="290" t="s">
        <v>1793</v>
      </c>
      <c r="C40" s="288"/>
      <c r="D40" s="495" t="s">
        <v>1854</v>
      </c>
      <c r="E40" s="491" t="s">
        <v>1793</v>
      </c>
      <c r="F40" s="492"/>
    </row>
    <row r="41" spans="1:6" s="493" customFormat="1" ht="19.899999999999999" customHeight="1">
      <c r="A41" s="289" t="s">
        <v>1855</v>
      </c>
      <c r="B41" s="290" t="s">
        <v>1793</v>
      </c>
      <c r="C41" s="288"/>
      <c r="D41" s="289" t="s">
        <v>1856</v>
      </c>
      <c r="E41" s="475" t="s">
        <v>1542</v>
      </c>
      <c r="F41" s="273" t="s">
        <v>1542</v>
      </c>
    </row>
    <row r="42" spans="1:6" s="493" customFormat="1" ht="19.899999999999999" customHeight="1">
      <c r="A42" s="294" t="s">
        <v>1857</v>
      </c>
      <c r="B42" s="290" t="s">
        <v>1793</v>
      </c>
      <c r="C42" s="295"/>
      <c r="D42" s="289" t="s">
        <v>1794</v>
      </c>
      <c r="E42" s="290" t="s">
        <v>1831</v>
      </c>
      <c r="F42" s="284">
        <v>7075</v>
      </c>
    </row>
    <row r="43" spans="1:6" s="493" customFormat="1" ht="19.899999999999999" customHeight="1">
      <c r="A43" s="294" t="s">
        <v>1858</v>
      </c>
      <c r="B43" s="290" t="s">
        <v>1793</v>
      </c>
      <c r="C43" s="296"/>
      <c r="D43" s="289" t="s">
        <v>1859</v>
      </c>
      <c r="E43" s="290" t="s">
        <v>1831</v>
      </c>
      <c r="F43" s="284">
        <v>48</v>
      </c>
    </row>
    <row r="44" spans="1:6" s="493" customFormat="1" ht="19.899999999999999" customHeight="1">
      <c r="A44" s="289" t="s">
        <v>1860</v>
      </c>
      <c r="B44" s="290" t="s">
        <v>1793</v>
      </c>
      <c r="C44" s="489">
        <f>SUM(C45:C46)</f>
        <v>125277455.59</v>
      </c>
      <c r="D44" s="289" t="s">
        <v>1861</v>
      </c>
      <c r="E44" s="290" t="s">
        <v>1831</v>
      </c>
      <c r="F44" s="284">
        <v>5302</v>
      </c>
    </row>
    <row r="45" spans="1:6" s="493" customFormat="1" ht="19.899999999999999" customHeight="1">
      <c r="A45" s="289" t="s">
        <v>1850</v>
      </c>
      <c r="B45" s="290" t="s">
        <v>1793</v>
      </c>
      <c r="C45" s="297">
        <v>125277455.59</v>
      </c>
      <c r="D45" s="289" t="s">
        <v>1862</v>
      </c>
      <c r="E45" s="290" t="s">
        <v>1831</v>
      </c>
      <c r="F45" s="284">
        <v>337</v>
      </c>
    </row>
    <row r="46" spans="1:6" s="493" customFormat="1" ht="19.899999999999999" customHeight="1" thickBot="1">
      <c r="A46" s="298" t="s">
        <v>1852</v>
      </c>
      <c r="B46" s="299" t="s">
        <v>1793</v>
      </c>
      <c r="C46" s="300"/>
      <c r="D46" s="298" t="s">
        <v>1863</v>
      </c>
      <c r="E46" s="299" t="s">
        <v>1831</v>
      </c>
      <c r="F46" s="301"/>
    </row>
  </sheetData>
  <mergeCells count="1">
    <mergeCell ref="A1:F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39370078740157483"/>
  <pageSetup paperSize="9" scale="71" orientation="portrait" errors="blank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>
      <selection activeCell="A3" sqref="A1:XFD1048576"/>
    </sheetView>
  </sheetViews>
  <sheetFormatPr defaultRowHeight="14.25" customHeight="1"/>
  <cols>
    <col min="1" max="1" width="41.125" style="368" bestFit="1" customWidth="1"/>
    <col min="2" max="2" width="5.5" style="368" bestFit="1" customWidth="1"/>
    <col min="3" max="3" width="20" style="368" customWidth="1"/>
    <col min="4" max="4" width="39.125" style="368" bestFit="1" customWidth="1"/>
    <col min="5" max="5" width="5.5" style="368" bestFit="1" customWidth="1"/>
    <col min="6" max="6" width="20" style="368" customWidth="1"/>
    <col min="7" max="256" width="9" style="368"/>
    <col min="257" max="257" width="41.125" style="368" bestFit="1" customWidth="1"/>
    <col min="258" max="258" width="5.5" style="368" bestFit="1" customWidth="1"/>
    <col min="259" max="259" width="20" style="368" customWidth="1"/>
    <col min="260" max="260" width="39.125" style="368" bestFit="1" customWidth="1"/>
    <col min="261" max="261" width="5.5" style="368" bestFit="1" customWidth="1"/>
    <col min="262" max="262" width="20" style="368" customWidth="1"/>
    <col min="263" max="512" width="9" style="368"/>
    <col min="513" max="513" width="41.125" style="368" bestFit="1" customWidth="1"/>
    <col min="514" max="514" width="5.5" style="368" bestFit="1" customWidth="1"/>
    <col min="515" max="515" width="20" style="368" customWidth="1"/>
    <col min="516" max="516" width="39.125" style="368" bestFit="1" customWidth="1"/>
    <col min="517" max="517" width="5.5" style="368" bestFit="1" customWidth="1"/>
    <col min="518" max="518" width="20" style="368" customWidth="1"/>
    <col min="519" max="768" width="9" style="368"/>
    <col min="769" max="769" width="41.125" style="368" bestFit="1" customWidth="1"/>
    <col min="770" max="770" width="5.5" style="368" bestFit="1" customWidth="1"/>
    <col min="771" max="771" width="20" style="368" customWidth="1"/>
    <col min="772" max="772" width="39.125" style="368" bestFit="1" customWidth="1"/>
    <col min="773" max="773" width="5.5" style="368" bestFit="1" customWidth="1"/>
    <col min="774" max="774" width="20" style="368" customWidth="1"/>
    <col min="775" max="1024" width="9" style="368"/>
    <col min="1025" max="1025" width="41.125" style="368" bestFit="1" customWidth="1"/>
    <col min="1026" max="1026" width="5.5" style="368" bestFit="1" customWidth="1"/>
    <col min="1027" max="1027" width="20" style="368" customWidth="1"/>
    <col min="1028" max="1028" width="39.125" style="368" bestFit="1" customWidth="1"/>
    <col min="1029" max="1029" width="5.5" style="368" bestFit="1" customWidth="1"/>
    <col min="1030" max="1030" width="20" style="368" customWidth="1"/>
    <col min="1031" max="1280" width="9" style="368"/>
    <col min="1281" max="1281" width="41.125" style="368" bestFit="1" customWidth="1"/>
    <col min="1282" max="1282" width="5.5" style="368" bestFit="1" customWidth="1"/>
    <col min="1283" max="1283" width="20" style="368" customWidth="1"/>
    <col min="1284" max="1284" width="39.125" style="368" bestFit="1" customWidth="1"/>
    <col min="1285" max="1285" width="5.5" style="368" bestFit="1" customWidth="1"/>
    <col min="1286" max="1286" width="20" style="368" customWidth="1"/>
    <col min="1287" max="1536" width="9" style="368"/>
    <col min="1537" max="1537" width="41.125" style="368" bestFit="1" customWidth="1"/>
    <col min="1538" max="1538" width="5.5" style="368" bestFit="1" customWidth="1"/>
    <col min="1539" max="1539" width="20" style="368" customWidth="1"/>
    <col min="1540" max="1540" width="39.125" style="368" bestFit="1" customWidth="1"/>
    <col min="1541" max="1541" width="5.5" style="368" bestFit="1" customWidth="1"/>
    <col min="1542" max="1542" width="20" style="368" customWidth="1"/>
    <col min="1543" max="1792" width="9" style="368"/>
    <col min="1793" max="1793" width="41.125" style="368" bestFit="1" customWidth="1"/>
    <col min="1794" max="1794" width="5.5" style="368" bestFit="1" customWidth="1"/>
    <col min="1795" max="1795" width="20" style="368" customWidth="1"/>
    <col min="1796" max="1796" width="39.125" style="368" bestFit="1" customWidth="1"/>
    <col min="1797" max="1797" width="5.5" style="368" bestFit="1" customWidth="1"/>
    <col min="1798" max="1798" width="20" style="368" customWidth="1"/>
    <col min="1799" max="2048" width="9" style="368"/>
    <col min="2049" max="2049" width="41.125" style="368" bestFit="1" customWidth="1"/>
    <col min="2050" max="2050" width="5.5" style="368" bestFit="1" customWidth="1"/>
    <col min="2051" max="2051" width="20" style="368" customWidth="1"/>
    <col min="2052" max="2052" width="39.125" style="368" bestFit="1" customWidth="1"/>
    <col min="2053" max="2053" width="5.5" style="368" bestFit="1" customWidth="1"/>
    <col min="2054" max="2054" width="20" style="368" customWidth="1"/>
    <col min="2055" max="2304" width="9" style="368"/>
    <col min="2305" max="2305" width="41.125" style="368" bestFit="1" customWidth="1"/>
    <col min="2306" max="2306" width="5.5" style="368" bestFit="1" customWidth="1"/>
    <col min="2307" max="2307" width="20" style="368" customWidth="1"/>
    <col min="2308" max="2308" width="39.125" style="368" bestFit="1" customWidth="1"/>
    <col min="2309" max="2309" width="5.5" style="368" bestFit="1" customWidth="1"/>
    <col min="2310" max="2310" width="20" style="368" customWidth="1"/>
    <col min="2311" max="2560" width="9" style="368"/>
    <col min="2561" max="2561" width="41.125" style="368" bestFit="1" customWidth="1"/>
    <col min="2562" max="2562" width="5.5" style="368" bestFit="1" customWidth="1"/>
    <col min="2563" max="2563" width="20" style="368" customWidth="1"/>
    <col min="2564" max="2564" width="39.125" style="368" bestFit="1" customWidth="1"/>
    <col min="2565" max="2565" width="5.5" style="368" bestFit="1" customWidth="1"/>
    <col min="2566" max="2566" width="20" style="368" customWidth="1"/>
    <col min="2567" max="2816" width="9" style="368"/>
    <col min="2817" max="2817" width="41.125" style="368" bestFit="1" customWidth="1"/>
    <col min="2818" max="2818" width="5.5" style="368" bestFit="1" customWidth="1"/>
    <col min="2819" max="2819" width="20" style="368" customWidth="1"/>
    <col min="2820" max="2820" width="39.125" style="368" bestFit="1" customWidth="1"/>
    <col min="2821" max="2821" width="5.5" style="368" bestFit="1" customWidth="1"/>
    <col min="2822" max="2822" width="20" style="368" customWidth="1"/>
    <col min="2823" max="3072" width="9" style="368"/>
    <col min="3073" max="3073" width="41.125" style="368" bestFit="1" customWidth="1"/>
    <col min="3074" max="3074" width="5.5" style="368" bestFit="1" customWidth="1"/>
    <col min="3075" max="3075" width="20" style="368" customWidth="1"/>
    <col min="3076" max="3076" width="39.125" style="368" bestFit="1" customWidth="1"/>
    <col min="3077" max="3077" width="5.5" style="368" bestFit="1" customWidth="1"/>
    <col min="3078" max="3078" width="20" style="368" customWidth="1"/>
    <col min="3079" max="3328" width="9" style="368"/>
    <col min="3329" max="3329" width="41.125" style="368" bestFit="1" customWidth="1"/>
    <col min="3330" max="3330" width="5.5" style="368" bestFit="1" customWidth="1"/>
    <col min="3331" max="3331" width="20" style="368" customWidth="1"/>
    <col min="3332" max="3332" width="39.125" style="368" bestFit="1" customWidth="1"/>
    <col min="3333" max="3333" width="5.5" style="368" bestFit="1" customWidth="1"/>
    <col min="3334" max="3334" width="20" style="368" customWidth="1"/>
    <col min="3335" max="3584" width="9" style="368"/>
    <col min="3585" max="3585" width="41.125" style="368" bestFit="1" customWidth="1"/>
    <col min="3586" max="3586" width="5.5" style="368" bestFit="1" customWidth="1"/>
    <col min="3587" max="3587" width="20" style="368" customWidth="1"/>
    <col min="3588" max="3588" width="39.125" style="368" bestFit="1" customWidth="1"/>
    <col min="3589" max="3589" width="5.5" style="368" bestFit="1" customWidth="1"/>
    <col min="3590" max="3590" width="20" style="368" customWidth="1"/>
    <col min="3591" max="3840" width="9" style="368"/>
    <col min="3841" max="3841" width="41.125" style="368" bestFit="1" customWidth="1"/>
    <col min="3842" max="3842" width="5.5" style="368" bestFit="1" customWidth="1"/>
    <col min="3843" max="3843" width="20" style="368" customWidth="1"/>
    <col min="3844" max="3844" width="39.125" style="368" bestFit="1" customWidth="1"/>
    <col min="3845" max="3845" width="5.5" style="368" bestFit="1" customWidth="1"/>
    <col min="3846" max="3846" width="20" style="368" customWidth="1"/>
    <col min="3847" max="4096" width="9" style="368"/>
    <col min="4097" max="4097" width="41.125" style="368" bestFit="1" customWidth="1"/>
    <col min="4098" max="4098" width="5.5" style="368" bestFit="1" customWidth="1"/>
    <col min="4099" max="4099" width="20" style="368" customWidth="1"/>
    <col min="4100" max="4100" width="39.125" style="368" bestFit="1" customWidth="1"/>
    <col min="4101" max="4101" width="5.5" style="368" bestFit="1" customWidth="1"/>
    <col min="4102" max="4102" width="20" style="368" customWidth="1"/>
    <col min="4103" max="4352" width="9" style="368"/>
    <col min="4353" max="4353" width="41.125" style="368" bestFit="1" customWidth="1"/>
    <col min="4354" max="4354" width="5.5" style="368" bestFit="1" customWidth="1"/>
    <col min="4355" max="4355" width="20" style="368" customWidth="1"/>
    <col min="4356" max="4356" width="39.125" style="368" bestFit="1" customWidth="1"/>
    <col min="4357" max="4357" width="5.5" style="368" bestFit="1" customWidth="1"/>
    <col min="4358" max="4358" width="20" style="368" customWidth="1"/>
    <col min="4359" max="4608" width="9" style="368"/>
    <col min="4609" max="4609" width="41.125" style="368" bestFit="1" customWidth="1"/>
    <col min="4610" max="4610" width="5.5" style="368" bestFit="1" customWidth="1"/>
    <col min="4611" max="4611" width="20" style="368" customWidth="1"/>
    <col min="4612" max="4612" width="39.125" style="368" bestFit="1" customWidth="1"/>
    <col min="4613" max="4613" width="5.5" style="368" bestFit="1" customWidth="1"/>
    <col min="4614" max="4614" width="20" style="368" customWidth="1"/>
    <col min="4615" max="4864" width="9" style="368"/>
    <col min="4865" max="4865" width="41.125" style="368" bestFit="1" customWidth="1"/>
    <col min="4866" max="4866" width="5.5" style="368" bestFit="1" customWidth="1"/>
    <col min="4867" max="4867" width="20" style="368" customWidth="1"/>
    <col min="4868" max="4868" width="39.125" style="368" bestFit="1" customWidth="1"/>
    <col min="4869" max="4869" width="5.5" style="368" bestFit="1" customWidth="1"/>
    <col min="4870" max="4870" width="20" style="368" customWidth="1"/>
    <col min="4871" max="5120" width="9" style="368"/>
    <col min="5121" max="5121" width="41.125" style="368" bestFit="1" customWidth="1"/>
    <col min="5122" max="5122" width="5.5" style="368" bestFit="1" customWidth="1"/>
    <col min="5123" max="5123" width="20" style="368" customWidth="1"/>
    <col min="5124" max="5124" width="39.125" style="368" bestFit="1" customWidth="1"/>
    <col min="5125" max="5125" width="5.5" style="368" bestFit="1" customWidth="1"/>
    <col min="5126" max="5126" width="20" style="368" customWidth="1"/>
    <col min="5127" max="5376" width="9" style="368"/>
    <col min="5377" max="5377" width="41.125" style="368" bestFit="1" customWidth="1"/>
    <col min="5378" max="5378" width="5.5" style="368" bestFit="1" customWidth="1"/>
    <col min="5379" max="5379" width="20" style="368" customWidth="1"/>
    <col min="5380" max="5380" width="39.125" style="368" bestFit="1" customWidth="1"/>
    <col min="5381" max="5381" width="5.5" style="368" bestFit="1" customWidth="1"/>
    <col min="5382" max="5382" width="20" style="368" customWidth="1"/>
    <col min="5383" max="5632" width="9" style="368"/>
    <col min="5633" max="5633" width="41.125" style="368" bestFit="1" customWidth="1"/>
    <col min="5634" max="5634" width="5.5" style="368" bestFit="1" customWidth="1"/>
    <col min="5635" max="5635" width="20" style="368" customWidth="1"/>
    <col min="5636" max="5636" width="39.125" style="368" bestFit="1" customWidth="1"/>
    <col min="5637" max="5637" width="5.5" style="368" bestFit="1" customWidth="1"/>
    <col min="5638" max="5638" width="20" style="368" customWidth="1"/>
    <col min="5639" max="5888" width="9" style="368"/>
    <col min="5889" max="5889" width="41.125" style="368" bestFit="1" customWidth="1"/>
    <col min="5890" max="5890" width="5.5" style="368" bestFit="1" customWidth="1"/>
    <col min="5891" max="5891" width="20" style="368" customWidth="1"/>
    <col min="5892" max="5892" width="39.125" style="368" bestFit="1" customWidth="1"/>
    <col min="5893" max="5893" width="5.5" style="368" bestFit="1" customWidth="1"/>
    <col min="5894" max="5894" width="20" style="368" customWidth="1"/>
    <col min="5895" max="6144" width="9" style="368"/>
    <col min="6145" max="6145" width="41.125" style="368" bestFit="1" customWidth="1"/>
    <col min="6146" max="6146" width="5.5" style="368" bestFit="1" customWidth="1"/>
    <col min="6147" max="6147" width="20" style="368" customWidth="1"/>
    <col min="6148" max="6148" width="39.125" style="368" bestFit="1" customWidth="1"/>
    <col min="6149" max="6149" width="5.5" style="368" bestFit="1" customWidth="1"/>
    <col min="6150" max="6150" width="20" style="368" customWidth="1"/>
    <col min="6151" max="6400" width="9" style="368"/>
    <col min="6401" max="6401" width="41.125" style="368" bestFit="1" customWidth="1"/>
    <col min="6402" max="6402" width="5.5" style="368" bestFit="1" customWidth="1"/>
    <col min="6403" max="6403" width="20" style="368" customWidth="1"/>
    <col min="6404" max="6404" width="39.125" style="368" bestFit="1" customWidth="1"/>
    <col min="6405" max="6405" width="5.5" style="368" bestFit="1" customWidth="1"/>
    <col min="6406" max="6406" width="20" style="368" customWidth="1"/>
    <col min="6407" max="6656" width="9" style="368"/>
    <col min="6657" max="6657" width="41.125" style="368" bestFit="1" customWidth="1"/>
    <col min="6658" max="6658" width="5.5" style="368" bestFit="1" customWidth="1"/>
    <col min="6659" max="6659" width="20" style="368" customWidth="1"/>
    <col min="6660" max="6660" width="39.125" style="368" bestFit="1" customWidth="1"/>
    <col min="6661" max="6661" width="5.5" style="368" bestFit="1" customWidth="1"/>
    <col min="6662" max="6662" width="20" style="368" customWidth="1"/>
    <col min="6663" max="6912" width="9" style="368"/>
    <col min="6913" max="6913" width="41.125" style="368" bestFit="1" customWidth="1"/>
    <col min="6914" max="6914" width="5.5" style="368" bestFit="1" customWidth="1"/>
    <col min="6915" max="6915" width="20" style="368" customWidth="1"/>
    <col min="6916" max="6916" width="39.125" style="368" bestFit="1" customWidth="1"/>
    <col min="6917" max="6917" width="5.5" style="368" bestFit="1" customWidth="1"/>
    <col min="6918" max="6918" width="20" style="368" customWidth="1"/>
    <col min="6919" max="7168" width="9" style="368"/>
    <col min="7169" max="7169" width="41.125" style="368" bestFit="1" customWidth="1"/>
    <col min="7170" max="7170" width="5.5" style="368" bestFit="1" customWidth="1"/>
    <col min="7171" max="7171" width="20" style="368" customWidth="1"/>
    <col min="7172" max="7172" width="39.125" style="368" bestFit="1" customWidth="1"/>
    <col min="7173" max="7173" width="5.5" style="368" bestFit="1" customWidth="1"/>
    <col min="7174" max="7174" width="20" style="368" customWidth="1"/>
    <col min="7175" max="7424" width="9" style="368"/>
    <col min="7425" max="7425" width="41.125" style="368" bestFit="1" customWidth="1"/>
    <col min="7426" max="7426" width="5.5" style="368" bestFit="1" customWidth="1"/>
    <col min="7427" max="7427" width="20" style="368" customWidth="1"/>
    <col min="7428" max="7428" width="39.125" style="368" bestFit="1" customWidth="1"/>
    <col min="7429" max="7429" width="5.5" style="368" bestFit="1" customWidth="1"/>
    <col min="7430" max="7430" width="20" style="368" customWidth="1"/>
    <col min="7431" max="7680" width="9" style="368"/>
    <col min="7681" max="7681" width="41.125" style="368" bestFit="1" customWidth="1"/>
    <col min="7682" max="7682" width="5.5" style="368" bestFit="1" customWidth="1"/>
    <col min="7683" max="7683" width="20" style="368" customWidth="1"/>
    <col min="7684" max="7684" width="39.125" style="368" bestFit="1" customWidth="1"/>
    <col min="7685" max="7685" width="5.5" style="368" bestFit="1" customWidth="1"/>
    <col min="7686" max="7686" width="20" style="368" customWidth="1"/>
    <col min="7687" max="7936" width="9" style="368"/>
    <col min="7937" max="7937" width="41.125" style="368" bestFit="1" customWidth="1"/>
    <col min="7938" max="7938" width="5.5" style="368" bestFit="1" customWidth="1"/>
    <col min="7939" max="7939" width="20" style="368" customWidth="1"/>
    <col min="7940" max="7940" width="39.125" style="368" bestFit="1" customWidth="1"/>
    <col min="7941" max="7941" width="5.5" style="368" bestFit="1" customWidth="1"/>
    <col min="7942" max="7942" width="20" style="368" customWidth="1"/>
    <col min="7943" max="8192" width="9" style="368"/>
    <col min="8193" max="8193" width="41.125" style="368" bestFit="1" customWidth="1"/>
    <col min="8194" max="8194" width="5.5" style="368" bestFit="1" customWidth="1"/>
    <col min="8195" max="8195" width="20" style="368" customWidth="1"/>
    <col min="8196" max="8196" width="39.125" style="368" bestFit="1" customWidth="1"/>
    <col min="8197" max="8197" width="5.5" style="368" bestFit="1" customWidth="1"/>
    <col min="8198" max="8198" width="20" style="368" customWidth="1"/>
    <col min="8199" max="8448" width="9" style="368"/>
    <col min="8449" max="8449" width="41.125" style="368" bestFit="1" customWidth="1"/>
    <col min="8450" max="8450" width="5.5" style="368" bestFit="1" customWidth="1"/>
    <col min="8451" max="8451" width="20" style="368" customWidth="1"/>
    <col min="8452" max="8452" width="39.125" style="368" bestFit="1" customWidth="1"/>
    <col min="8453" max="8453" width="5.5" style="368" bestFit="1" customWidth="1"/>
    <col min="8454" max="8454" width="20" style="368" customWidth="1"/>
    <col min="8455" max="8704" width="9" style="368"/>
    <col min="8705" max="8705" width="41.125" style="368" bestFit="1" customWidth="1"/>
    <col min="8706" max="8706" width="5.5" style="368" bestFit="1" customWidth="1"/>
    <col min="8707" max="8707" width="20" style="368" customWidth="1"/>
    <col min="8708" max="8708" width="39.125" style="368" bestFit="1" customWidth="1"/>
    <col min="8709" max="8709" width="5.5" style="368" bestFit="1" customWidth="1"/>
    <col min="8710" max="8710" width="20" style="368" customWidth="1"/>
    <col min="8711" max="8960" width="9" style="368"/>
    <col min="8961" max="8961" width="41.125" style="368" bestFit="1" customWidth="1"/>
    <col min="8962" max="8962" width="5.5" style="368" bestFit="1" customWidth="1"/>
    <col min="8963" max="8963" width="20" style="368" customWidth="1"/>
    <col min="8964" max="8964" width="39.125" style="368" bestFit="1" customWidth="1"/>
    <col min="8965" max="8965" width="5.5" style="368" bestFit="1" customWidth="1"/>
    <col min="8966" max="8966" width="20" style="368" customWidth="1"/>
    <col min="8967" max="9216" width="9" style="368"/>
    <col min="9217" max="9217" width="41.125" style="368" bestFit="1" customWidth="1"/>
    <col min="9218" max="9218" width="5.5" style="368" bestFit="1" customWidth="1"/>
    <col min="9219" max="9219" width="20" style="368" customWidth="1"/>
    <col min="9220" max="9220" width="39.125" style="368" bestFit="1" customWidth="1"/>
    <col min="9221" max="9221" width="5.5" style="368" bestFit="1" customWidth="1"/>
    <col min="9222" max="9222" width="20" style="368" customWidth="1"/>
    <col min="9223" max="9472" width="9" style="368"/>
    <col min="9473" max="9473" width="41.125" style="368" bestFit="1" customWidth="1"/>
    <col min="9474" max="9474" width="5.5" style="368" bestFit="1" customWidth="1"/>
    <col min="9475" max="9475" width="20" style="368" customWidth="1"/>
    <col min="9476" max="9476" width="39.125" style="368" bestFit="1" customWidth="1"/>
    <col min="9477" max="9477" width="5.5" style="368" bestFit="1" customWidth="1"/>
    <col min="9478" max="9478" width="20" style="368" customWidth="1"/>
    <col min="9479" max="9728" width="9" style="368"/>
    <col min="9729" max="9729" width="41.125" style="368" bestFit="1" customWidth="1"/>
    <col min="9730" max="9730" width="5.5" style="368" bestFit="1" customWidth="1"/>
    <col min="9731" max="9731" width="20" style="368" customWidth="1"/>
    <col min="9732" max="9732" width="39.125" style="368" bestFit="1" customWidth="1"/>
    <col min="9733" max="9733" width="5.5" style="368" bestFit="1" customWidth="1"/>
    <col min="9734" max="9734" width="20" style="368" customWidth="1"/>
    <col min="9735" max="9984" width="9" style="368"/>
    <col min="9985" max="9985" width="41.125" style="368" bestFit="1" customWidth="1"/>
    <col min="9986" max="9986" width="5.5" style="368" bestFit="1" customWidth="1"/>
    <col min="9987" max="9987" width="20" style="368" customWidth="1"/>
    <col min="9988" max="9988" width="39.125" style="368" bestFit="1" customWidth="1"/>
    <col min="9989" max="9989" width="5.5" style="368" bestFit="1" customWidth="1"/>
    <col min="9990" max="9990" width="20" style="368" customWidth="1"/>
    <col min="9991" max="10240" width="9" style="368"/>
    <col min="10241" max="10241" width="41.125" style="368" bestFit="1" customWidth="1"/>
    <col min="10242" max="10242" width="5.5" style="368" bestFit="1" customWidth="1"/>
    <col min="10243" max="10243" width="20" style="368" customWidth="1"/>
    <col min="10244" max="10244" width="39.125" style="368" bestFit="1" customWidth="1"/>
    <col min="10245" max="10245" width="5.5" style="368" bestFit="1" customWidth="1"/>
    <col min="10246" max="10246" width="20" style="368" customWidth="1"/>
    <col min="10247" max="10496" width="9" style="368"/>
    <col min="10497" max="10497" width="41.125" style="368" bestFit="1" customWidth="1"/>
    <col min="10498" max="10498" width="5.5" style="368" bestFit="1" customWidth="1"/>
    <col min="10499" max="10499" width="20" style="368" customWidth="1"/>
    <col min="10500" max="10500" width="39.125" style="368" bestFit="1" customWidth="1"/>
    <col min="10501" max="10501" width="5.5" style="368" bestFit="1" customWidth="1"/>
    <col min="10502" max="10502" width="20" style="368" customWidth="1"/>
    <col min="10503" max="10752" width="9" style="368"/>
    <col min="10753" max="10753" width="41.125" style="368" bestFit="1" customWidth="1"/>
    <col min="10754" max="10754" width="5.5" style="368" bestFit="1" customWidth="1"/>
    <col min="10755" max="10755" width="20" style="368" customWidth="1"/>
    <col min="10756" max="10756" width="39.125" style="368" bestFit="1" customWidth="1"/>
    <col min="10757" max="10757" width="5.5" style="368" bestFit="1" customWidth="1"/>
    <col min="10758" max="10758" width="20" style="368" customWidth="1"/>
    <col min="10759" max="11008" width="9" style="368"/>
    <col min="11009" max="11009" width="41.125" style="368" bestFit="1" customWidth="1"/>
    <col min="11010" max="11010" width="5.5" style="368" bestFit="1" customWidth="1"/>
    <col min="11011" max="11011" width="20" style="368" customWidth="1"/>
    <col min="11012" max="11012" width="39.125" style="368" bestFit="1" customWidth="1"/>
    <col min="11013" max="11013" width="5.5" style="368" bestFit="1" customWidth="1"/>
    <col min="11014" max="11014" width="20" style="368" customWidth="1"/>
    <col min="11015" max="11264" width="9" style="368"/>
    <col min="11265" max="11265" width="41.125" style="368" bestFit="1" customWidth="1"/>
    <col min="11266" max="11266" width="5.5" style="368" bestFit="1" customWidth="1"/>
    <col min="11267" max="11267" width="20" style="368" customWidth="1"/>
    <col min="11268" max="11268" width="39.125" style="368" bestFit="1" customWidth="1"/>
    <col min="11269" max="11269" width="5.5" style="368" bestFit="1" customWidth="1"/>
    <col min="11270" max="11270" width="20" style="368" customWidth="1"/>
    <col min="11271" max="11520" width="9" style="368"/>
    <col min="11521" max="11521" width="41.125" style="368" bestFit="1" customWidth="1"/>
    <col min="11522" max="11522" width="5.5" style="368" bestFit="1" customWidth="1"/>
    <col min="11523" max="11523" width="20" style="368" customWidth="1"/>
    <col min="11524" max="11524" width="39.125" style="368" bestFit="1" customWidth="1"/>
    <col min="11525" max="11525" width="5.5" style="368" bestFit="1" customWidth="1"/>
    <col min="11526" max="11526" width="20" style="368" customWidth="1"/>
    <col min="11527" max="11776" width="9" style="368"/>
    <col min="11777" max="11777" width="41.125" style="368" bestFit="1" customWidth="1"/>
    <col min="11778" max="11778" width="5.5" style="368" bestFit="1" customWidth="1"/>
    <col min="11779" max="11779" width="20" style="368" customWidth="1"/>
    <col min="11780" max="11780" width="39.125" style="368" bestFit="1" customWidth="1"/>
    <col min="11781" max="11781" width="5.5" style="368" bestFit="1" customWidth="1"/>
    <col min="11782" max="11782" width="20" style="368" customWidth="1"/>
    <col min="11783" max="12032" width="9" style="368"/>
    <col min="12033" max="12033" width="41.125" style="368" bestFit="1" customWidth="1"/>
    <col min="12034" max="12034" width="5.5" style="368" bestFit="1" customWidth="1"/>
    <col min="12035" max="12035" width="20" style="368" customWidth="1"/>
    <col min="12036" max="12036" width="39.125" style="368" bestFit="1" customWidth="1"/>
    <col min="12037" max="12037" width="5.5" style="368" bestFit="1" customWidth="1"/>
    <col min="12038" max="12038" width="20" style="368" customWidth="1"/>
    <col min="12039" max="12288" width="9" style="368"/>
    <col min="12289" max="12289" width="41.125" style="368" bestFit="1" customWidth="1"/>
    <col min="12290" max="12290" width="5.5" style="368" bestFit="1" customWidth="1"/>
    <col min="12291" max="12291" width="20" style="368" customWidth="1"/>
    <col min="12292" max="12292" width="39.125" style="368" bestFit="1" customWidth="1"/>
    <col min="12293" max="12293" width="5.5" style="368" bestFit="1" customWidth="1"/>
    <col min="12294" max="12294" width="20" style="368" customWidth="1"/>
    <col min="12295" max="12544" width="9" style="368"/>
    <col min="12545" max="12545" width="41.125" style="368" bestFit="1" customWidth="1"/>
    <col min="12546" max="12546" width="5.5" style="368" bestFit="1" customWidth="1"/>
    <col min="12547" max="12547" width="20" style="368" customWidth="1"/>
    <col min="12548" max="12548" width="39.125" style="368" bestFit="1" customWidth="1"/>
    <col min="12549" max="12549" width="5.5" style="368" bestFit="1" customWidth="1"/>
    <col min="12550" max="12550" width="20" style="368" customWidth="1"/>
    <col min="12551" max="12800" width="9" style="368"/>
    <col min="12801" max="12801" width="41.125" style="368" bestFit="1" customWidth="1"/>
    <col min="12802" max="12802" width="5.5" style="368" bestFit="1" customWidth="1"/>
    <col min="12803" max="12803" width="20" style="368" customWidth="1"/>
    <col min="12804" max="12804" width="39.125" style="368" bestFit="1" customWidth="1"/>
    <col min="12805" max="12805" width="5.5" style="368" bestFit="1" customWidth="1"/>
    <col min="12806" max="12806" width="20" style="368" customWidth="1"/>
    <col min="12807" max="13056" width="9" style="368"/>
    <col min="13057" max="13057" width="41.125" style="368" bestFit="1" customWidth="1"/>
    <col min="13058" max="13058" width="5.5" style="368" bestFit="1" customWidth="1"/>
    <col min="13059" max="13059" width="20" style="368" customWidth="1"/>
    <col min="13060" max="13060" width="39.125" style="368" bestFit="1" customWidth="1"/>
    <col min="13061" max="13061" width="5.5" style="368" bestFit="1" customWidth="1"/>
    <col min="13062" max="13062" width="20" style="368" customWidth="1"/>
    <col min="13063" max="13312" width="9" style="368"/>
    <col min="13313" max="13313" width="41.125" style="368" bestFit="1" customWidth="1"/>
    <col min="13314" max="13314" width="5.5" style="368" bestFit="1" customWidth="1"/>
    <col min="13315" max="13315" width="20" style="368" customWidth="1"/>
    <col min="13316" max="13316" width="39.125" style="368" bestFit="1" customWidth="1"/>
    <col min="13317" max="13317" width="5.5" style="368" bestFit="1" customWidth="1"/>
    <col min="13318" max="13318" width="20" style="368" customWidth="1"/>
    <col min="13319" max="13568" width="9" style="368"/>
    <col min="13569" max="13569" width="41.125" style="368" bestFit="1" customWidth="1"/>
    <col min="13570" max="13570" width="5.5" style="368" bestFit="1" customWidth="1"/>
    <col min="13571" max="13571" width="20" style="368" customWidth="1"/>
    <col min="13572" max="13572" width="39.125" style="368" bestFit="1" customWidth="1"/>
    <col min="13573" max="13573" width="5.5" style="368" bestFit="1" customWidth="1"/>
    <col min="13574" max="13574" width="20" style="368" customWidth="1"/>
    <col min="13575" max="13824" width="9" style="368"/>
    <col min="13825" max="13825" width="41.125" style="368" bestFit="1" customWidth="1"/>
    <col min="13826" max="13826" width="5.5" style="368" bestFit="1" customWidth="1"/>
    <col min="13827" max="13827" width="20" style="368" customWidth="1"/>
    <col min="13828" max="13828" width="39.125" style="368" bestFit="1" customWidth="1"/>
    <col min="13829" max="13829" width="5.5" style="368" bestFit="1" customWidth="1"/>
    <col min="13830" max="13830" width="20" style="368" customWidth="1"/>
    <col min="13831" max="14080" width="9" style="368"/>
    <col min="14081" max="14081" width="41.125" style="368" bestFit="1" customWidth="1"/>
    <col min="14082" max="14082" width="5.5" style="368" bestFit="1" customWidth="1"/>
    <col min="14083" max="14083" width="20" style="368" customWidth="1"/>
    <col min="14084" max="14084" width="39.125" style="368" bestFit="1" customWidth="1"/>
    <col min="14085" max="14085" width="5.5" style="368" bestFit="1" customWidth="1"/>
    <col min="14086" max="14086" width="20" style="368" customWidth="1"/>
    <col min="14087" max="14336" width="9" style="368"/>
    <col min="14337" max="14337" width="41.125" style="368" bestFit="1" customWidth="1"/>
    <col min="14338" max="14338" width="5.5" style="368" bestFit="1" customWidth="1"/>
    <col min="14339" max="14339" width="20" style="368" customWidth="1"/>
    <col min="14340" max="14340" width="39.125" style="368" bestFit="1" customWidth="1"/>
    <col min="14341" max="14341" width="5.5" style="368" bestFit="1" customWidth="1"/>
    <col min="14342" max="14342" width="20" style="368" customWidth="1"/>
    <col min="14343" max="14592" width="9" style="368"/>
    <col min="14593" max="14593" width="41.125" style="368" bestFit="1" customWidth="1"/>
    <col min="14594" max="14594" width="5.5" style="368" bestFit="1" customWidth="1"/>
    <col min="14595" max="14595" width="20" style="368" customWidth="1"/>
    <col min="14596" max="14596" width="39.125" style="368" bestFit="1" customWidth="1"/>
    <col min="14597" max="14597" width="5.5" style="368" bestFit="1" customWidth="1"/>
    <col min="14598" max="14598" width="20" style="368" customWidth="1"/>
    <col min="14599" max="14848" width="9" style="368"/>
    <col min="14849" max="14849" width="41.125" style="368" bestFit="1" customWidth="1"/>
    <col min="14850" max="14850" width="5.5" style="368" bestFit="1" customWidth="1"/>
    <col min="14851" max="14851" width="20" style="368" customWidth="1"/>
    <col min="14852" max="14852" width="39.125" style="368" bestFit="1" customWidth="1"/>
    <col min="14853" max="14853" width="5.5" style="368" bestFit="1" customWidth="1"/>
    <col min="14854" max="14854" width="20" style="368" customWidth="1"/>
    <col min="14855" max="15104" width="9" style="368"/>
    <col min="15105" max="15105" width="41.125" style="368" bestFit="1" customWidth="1"/>
    <col min="15106" max="15106" width="5.5" style="368" bestFit="1" customWidth="1"/>
    <col min="15107" max="15107" width="20" style="368" customWidth="1"/>
    <col min="15108" max="15108" width="39.125" style="368" bestFit="1" customWidth="1"/>
    <col min="15109" max="15109" width="5.5" style="368" bestFit="1" customWidth="1"/>
    <col min="15110" max="15110" width="20" style="368" customWidth="1"/>
    <col min="15111" max="15360" width="9" style="368"/>
    <col min="15361" max="15361" width="41.125" style="368" bestFit="1" customWidth="1"/>
    <col min="15362" max="15362" width="5.5" style="368" bestFit="1" customWidth="1"/>
    <col min="15363" max="15363" width="20" style="368" customWidth="1"/>
    <col min="15364" max="15364" width="39.125" style="368" bestFit="1" customWidth="1"/>
    <col min="15365" max="15365" width="5.5" style="368" bestFit="1" customWidth="1"/>
    <col min="15366" max="15366" width="20" style="368" customWidth="1"/>
    <col min="15367" max="15616" width="9" style="368"/>
    <col min="15617" max="15617" width="41.125" style="368" bestFit="1" customWidth="1"/>
    <col min="15618" max="15618" width="5.5" style="368" bestFit="1" customWidth="1"/>
    <col min="15619" max="15619" width="20" style="368" customWidth="1"/>
    <col min="15620" max="15620" width="39.125" style="368" bestFit="1" customWidth="1"/>
    <col min="15621" max="15621" width="5.5" style="368" bestFit="1" customWidth="1"/>
    <col min="15622" max="15622" width="20" style="368" customWidth="1"/>
    <col min="15623" max="15872" width="9" style="368"/>
    <col min="15873" max="15873" width="41.125" style="368" bestFit="1" customWidth="1"/>
    <col min="15874" max="15874" width="5.5" style="368" bestFit="1" customWidth="1"/>
    <col min="15875" max="15875" width="20" style="368" customWidth="1"/>
    <col min="15876" max="15876" width="39.125" style="368" bestFit="1" customWidth="1"/>
    <col min="15877" max="15877" width="5.5" style="368" bestFit="1" customWidth="1"/>
    <col min="15878" max="15878" width="20" style="368" customWidth="1"/>
    <col min="15879" max="16128" width="9" style="368"/>
    <col min="16129" max="16129" width="41.125" style="368" bestFit="1" customWidth="1"/>
    <col min="16130" max="16130" width="5.5" style="368" bestFit="1" customWidth="1"/>
    <col min="16131" max="16131" width="20" style="368" customWidth="1"/>
    <col min="16132" max="16132" width="39.125" style="368" bestFit="1" customWidth="1"/>
    <col min="16133" max="16133" width="5.5" style="368" bestFit="1" customWidth="1"/>
    <col min="16134" max="16134" width="20" style="368" customWidth="1"/>
    <col min="16135" max="16384" width="9" style="368"/>
  </cols>
  <sheetData>
    <row r="1" spans="1:6" ht="36.75" customHeight="1">
      <c r="A1" s="732" t="s">
        <v>1864</v>
      </c>
      <c r="B1" s="732"/>
      <c r="C1" s="732"/>
      <c r="D1" s="732"/>
      <c r="E1" s="732"/>
      <c r="F1" s="732"/>
    </row>
    <row r="2" spans="1:6" ht="26.25" customHeight="1" thickBot="1">
      <c r="A2" s="343" t="s">
        <v>1526</v>
      </c>
      <c r="B2" s="372"/>
      <c r="C2" s="369"/>
      <c r="D2" s="369"/>
      <c r="E2" s="369"/>
      <c r="F2" s="371" t="s">
        <v>1865</v>
      </c>
    </row>
    <row r="3" spans="1:6" ht="22.5" customHeight="1" thickBot="1">
      <c r="A3" s="496" t="s">
        <v>1528</v>
      </c>
      <c r="B3" s="497" t="s">
        <v>1789</v>
      </c>
      <c r="C3" s="498" t="s">
        <v>1790</v>
      </c>
      <c r="D3" s="499" t="s">
        <v>1528</v>
      </c>
      <c r="E3" s="497" t="s">
        <v>1789</v>
      </c>
      <c r="F3" s="498" t="s">
        <v>1790</v>
      </c>
    </row>
    <row r="4" spans="1:6" ht="19.5" customHeight="1">
      <c r="A4" s="500" t="s">
        <v>1866</v>
      </c>
      <c r="B4" s="501" t="s">
        <v>1542</v>
      </c>
      <c r="C4" s="502" t="s">
        <v>1542</v>
      </c>
      <c r="D4" s="503" t="s">
        <v>1867</v>
      </c>
      <c r="E4" s="504" t="s">
        <v>1868</v>
      </c>
      <c r="F4" s="302">
        <v>3559298</v>
      </c>
    </row>
    <row r="5" spans="1:6" ht="19.5" customHeight="1">
      <c r="A5" s="505" t="s">
        <v>1869</v>
      </c>
      <c r="B5" s="506" t="s">
        <v>1795</v>
      </c>
      <c r="C5" s="303">
        <f>SUM(C6:C7)</f>
        <v>10391166</v>
      </c>
      <c r="D5" s="507" t="s">
        <v>1870</v>
      </c>
      <c r="E5" s="508" t="s">
        <v>1542</v>
      </c>
      <c r="F5" s="509" t="s">
        <v>1542</v>
      </c>
    </row>
    <row r="6" spans="1:6" ht="19.5" customHeight="1">
      <c r="A6" s="505" t="s">
        <v>1871</v>
      </c>
      <c r="B6" s="506" t="s">
        <v>1795</v>
      </c>
      <c r="C6" s="303">
        <v>10114869</v>
      </c>
      <c r="D6" s="510" t="s">
        <v>1869</v>
      </c>
      <c r="E6" s="508" t="s">
        <v>1831</v>
      </c>
      <c r="F6" s="304">
        <v>10324941</v>
      </c>
    </row>
    <row r="7" spans="1:6" ht="19.5" customHeight="1">
      <c r="A7" s="505" t="s">
        <v>1872</v>
      </c>
      <c r="B7" s="506" t="s">
        <v>1795</v>
      </c>
      <c r="C7" s="303">
        <v>276297</v>
      </c>
      <c r="D7" s="510" t="s">
        <v>1873</v>
      </c>
      <c r="E7" s="508" t="s">
        <v>1795</v>
      </c>
      <c r="F7" s="304">
        <v>9608426</v>
      </c>
    </row>
    <row r="8" spans="1:6" ht="19.5" customHeight="1">
      <c r="A8" s="505" t="s">
        <v>1874</v>
      </c>
      <c r="B8" s="506" t="s">
        <v>1542</v>
      </c>
      <c r="C8" s="511" t="s">
        <v>1542</v>
      </c>
      <c r="D8" s="507" t="s">
        <v>1875</v>
      </c>
      <c r="E8" s="508" t="s">
        <v>1801</v>
      </c>
      <c r="F8" s="303">
        <v>330380990000</v>
      </c>
    </row>
    <row r="9" spans="1:6" ht="19.5" customHeight="1">
      <c r="A9" s="505" t="s">
        <v>1876</v>
      </c>
      <c r="B9" s="508" t="s">
        <v>1801</v>
      </c>
      <c r="C9" s="303">
        <v>650763610000</v>
      </c>
      <c r="D9" s="510" t="s">
        <v>1877</v>
      </c>
      <c r="E9" s="508" t="s">
        <v>1831</v>
      </c>
      <c r="F9" s="304">
        <v>38974</v>
      </c>
    </row>
    <row r="10" spans="1:6" ht="19.5" customHeight="1">
      <c r="A10" s="505" t="s">
        <v>1878</v>
      </c>
      <c r="B10" s="508" t="s">
        <v>1801</v>
      </c>
      <c r="C10" s="303">
        <v>650763610000</v>
      </c>
      <c r="D10" s="510" t="s">
        <v>1879</v>
      </c>
      <c r="E10" s="508" t="s">
        <v>1542</v>
      </c>
      <c r="F10" s="509" t="s">
        <v>1542</v>
      </c>
    </row>
    <row r="11" spans="1:6" ht="19.5" customHeight="1">
      <c r="A11" s="505" t="s">
        <v>1880</v>
      </c>
      <c r="B11" s="506" t="s">
        <v>1542</v>
      </c>
      <c r="C11" s="509" t="s">
        <v>1542</v>
      </c>
      <c r="D11" s="510" t="s">
        <v>1881</v>
      </c>
      <c r="E11" s="508" t="s">
        <v>1801</v>
      </c>
      <c r="F11" s="243"/>
    </row>
    <row r="12" spans="1:6" ht="19.5" customHeight="1">
      <c r="A12" s="512" t="s">
        <v>1882</v>
      </c>
      <c r="B12" s="506" t="s">
        <v>1542</v>
      </c>
      <c r="C12" s="509" t="s">
        <v>1542</v>
      </c>
      <c r="D12" s="513" t="s">
        <v>1883</v>
      </c>
      <c r="E12" s="508" t="s">
        <v>1801</v>
      </c>
      <c r="F12" s="243"/>
    </row>
    <row r="13" spans="1:6" ht="19.5" customHeight="1">
      <c r="A13" s="505" t="s">
        <v>1884</v>
      </c>
      <c r="B13" s="508" t="s">
        <v>1801</v>
      </c>
      <c r="C13" s="243"/>
      <c r="D13" s="513" t="s">
        <v>1885</v>
      </c>
      <c r="E13" s="508" t="s">
        <v>1801</v>
      </c>
      <c r="F13" s="243">
        <v>0</v>
      </c>
    </row>
    <row r="14" spans="1:6" ht="19.5" customHeight="1">
      <c r="A14" s="505" t="s">
        <v>1886</v>
      </c>
      <c r="B14" s="508" t="s">
        <v>1801</v>
      </c>
      <c r="C14" s="243"/>
      <c r="D14" s="513" t="s">
        <v>1887</v>
      </c>
      <c r="E14" s="508" t="s">
        <v>1801</v>
      </c>
      <c r="F14" s="243">
        <v>0</v>
      </c>
    </row>
    <row r="15" spans="1:6" ht="19.5" customHeight="1">
      <c r="A15" s="505" t="s">
        <v>1888</v>
      </c>
      <c r="B15" s="508" t="s">
        <v>1801</v>
      </c>
      <c r="C15" s="243"/>
      <c r="D15" s="507" t="s">
        <v>1889</v>
      </c>
      <c r="E15" s="508" t="s">
        <v>1801</v>
      </c>
      <c r="F15" s="243">
        <f>SUM(F16:F17)</f>
        <v>1600472.99</v>
      </c>
    </row>
    <row r="16" spans="1:6" ht="19.5" customHeight="1">
      <c r="A16" s="505" t="s">
        <v>1890</v>
      </c>
      <c r="B16" s="508" t="s">
        <v>1801</v>
      </c>
      <c r="C16" s="243">
        <f>C13-C14+C15</f>
        <v>0</v>
      </c>
      <c r="D16" s="513" t="s">
        <v>1891</v>
      </c>
      <c r="E16" s="508" t="s">
        <v>1801</v>
      </c>
      <c r="F16" s="243">
        <v>1600472.99</v>
      </c>
    </row>
    <row r="17" spans="1:6" ht="19.5" customHeight="1">
      <c r="A17" s="512" t="s">
        <v>1892</v>
      </c>
      <c r="B17" s="508" t="s">
        <v>1801</v>
      </c>
      <c r="C17" s="243"/>
      <c r="D17" s="513" t="s">
        <v>1893</v>
      </c>
      <c r="E17" s="508" t="s">
        <v>1801</v>
      </c>
      <c r="F17" s="243"/>
    </row>
    <row r="18" spans="1:6" ht="19.5" customHeight="1">
      <c r="A18" s="505" t="s">
        <v>1894</v>
      </c>
      <c r="B18" s="508" t="s">
        <v>1801</v>
      </c>
      <c r="C18" s="243">
        <f>SUM(C19:C20)</f>
        <v>22301374.639999997</v>
      </c>
      <c r="D18" s="513" t="s">
        <v>1895</v>
      </c>
      <c r="E18" s="508" t="s">
        <v>1801</v>
      </c>
      <c r="F18" s="243">
        <v>0</v>
      </c>
    </row>
    <row r="19" spans="1:6" ht="19.5" customHeight="1">
      <c r="A19" s="514" t="s">
        <v>1896</v>
      </c>
      <c r="B19" s="508" t="s">
        <v>1801</v>
      </c>
      <c r="C19" s="243">
        <f>19139490.99+3105847.74+56035.91</f>
        <v>22301374.639999997</v>
      </c>
      <c r="D19" s="507" t="s">
        <v>1897</v>
      </c>
      <c r="E19" s="508" t="s">
        <v>1542</v>
      </c>
      <c r="F19" s="509" t="s">
        <v>1542</v>
      </c>
    </row>
    <row r="20" spans="1:6" ht="19.5" customHeight="1">
      <c r="A20" s="514" t="s">
        <v>1898</v>
      </c>
      <c r="B20" s="508" t="s">
        <v>1801</v>
      </c>
      <c r="C20" s="243"/>
      <c r="D20" s="513" t="s">
        <v>1899</v>
      </c>
      <c r="E20" s="506" t="s">
        <v>1795</v>
      </c>
      <c r="F20" s="303">
        <v>10328970</v>
      </c>
    </row>
    <row r="21" spans="1:6" ht="19.5" customHeight="1">
      <c r="A21" s="514" t="s">
        <v>1900</v>
      </c>
      <c r="B21" s="508" t="s">
        <v>1801</v>
      </c>
      <c r="C21" s="243">
        <v>0</v>
      </c>
      <c r="D21" s="507" t="s">
        <v>1901</v>
      </c>
      <c r="E21" s="515" t="s">
        <v>1902</v>
      </c>
      <c r="F21" s="303">
        <v>1641835</v>
      </c>
    </row>
    <row r="22" spans="1:6" ht="19.5" customHeight="1">
      <c r="A22" s="514" t="s">
        <v>1903</v>
      </c>
      <c r="B22" s="506" t="s">
        <v>1542</v>
      </c>
      <c r="C22" s="509" t="s">
        <v>1542</v>
      </c>
      <c r="D22" s="507" t="s">
        <v>1904</v>
      </c>
      <c r="E22" s="506" t="s">
        <v>1902</v>
      </c>
      <c r="F22" s="303"/>
    </row>
    <row r="23" spans="1:6" ht="19.5" customHeight="1">
      <c r="A23" s="514" t="s">
        <v>1905</v>
      </c>
      <c r="B23" s="508" t="s">
        <v>1868</v>
      </c>
      <c r="C23" s="303">
        <f>SUM(C24:C25)</f>
        <v>463901</v>
      </c>
      <c r="D23" s="507" t="s">
        <v>1906</v>
      </c>
      <c r="E23" s="508" t="s">
        <v>1801</v>
      </c>
      <c r="F23" s="243">
        <f>SUM(F24:F25)</f>
        <v>2947881.96</v>
      </c>
    </row>
    <row r="24" spans="1:6" ht="19.5" customHeight="1">
      <c r="A24" s="505" t="s">
        <v>1907</v>
      </c>
      <c r="B24" s="506" t="s">
        <v>1868</v>
      </c>
      <c r="C24" s="305">
        <v>373157</v>
      </c>
      <c r="D24" s="507" t="s">
        <v>1908</v>
      </c>
      <c r="E24" s="508" t="s">
        <v>1801</v>
      </c>
      <c r="F24" s="243">
        <f>2943431.08+4450.88</f>
        <v>2947881.96</v>
      </c>
    </row>
    <row r="25" spans="1:6" ht="19.5" customHeight="1">
      <c r="A25" s="512" t="s">
        <v>1909</v>
      </c>
      <c r="B25" s="508" t="s">
        <v>1868</v>
      </c>
      <c r="C25" s="305">
        <v>90744</v>
      </c>
      <c r="D25" s="507" t="s">
        <v>1910</v>
      </c>
      <c r="E25" s="508" t="s">
        <v>1801</v>
      </c>
      <c r="F25" s="243">
        <v>0</v>
      </c>
    </row>
    <row r="26" spans="1:6" ht="19.5" customHeight="1">
      <c r="A26" s="512" t="s">
        <v>1911</v>
      </c>
      <c r="B26" s="508" t="s">
        <v>1868</v>
      </c>
      <c r="C26" s="303">
        <f>C27+F4</f>
        <v>41224703</v>
      </c>
      <c r="D26" s="507" t="s">
        <v>1912</v>
      </c>
      <c r="E26" s="508" t="s">
        <v>1801</v>
      </c>
      <c r="F26" s="243">
        <v>0</v>
      </c>
    </row>
    <row r="27" spans="1:6" ht="19.5" customHeight="1" thickBot="1">
      <c r="A27" s="516" t="s">
        <v>1913</v>
      </c>
      <c r="B27" s="517" t="s">
        <v>1868</v>
      </c>
      <c r="C27" s="306">
        <v>37665405</v>
      </c>
      <c r="D27" s="518"/>
      <c r="E27" s="519"/>
      <c r="F27" s="520">
        <v>0</v>
      </c>
    </row>
  </sheetData>
  <mergeCells count="1">
    <mergeCell ref="A1:F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39370078740157483"/>
  <pageSetup paperSize="9" scale="87" orientation="landscape" errors="blank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>
      <selection activeCell="A3" sqref="A1:XFD1048576"/>
    </sheetView>
  </sheetViews>
  <sheetFormatPr defaultRowHeight="14.25" customHeight="1"/>
  <cols>
    <col min="1" max="1" width="45.125" style="368" customWidth="1"/>
    <col min="2" max="2" width="6" style="368" customWidth="1"/>
    <col min="3" max="3" width="14.625" style="368" customWidth="1"/>
    <col min="4" max="4" width="45.125" style="368" customWidth="1"/>
    <col min="5" max="5" width="6" style="368" customWidth="1"/>
    <col min="6" max="6" width="14.625" style="368" customWidth="1"/>
    <col min="7" max="256" width="9" style="368"/>
    <col min="257" max="257" width="45.125" style="368" customWidth="1"/>
    <col min="258" max="258" width="6" style="368" customWidth="1"/>
    <col min="259" max="259" width="14.625" style="368" customWidth="1"/>
    <col min="260" max="260" width="45.125" style="368" customWidth="1"/>
    <col min="261" max="261" width="6" style="368" customWidth="1"/>
    <col min="262" max="262" width="14.625" style="368" customWidth="1"/>
    <col min="263" max="512" width="9" style="368"/>
    <col min="513" max="513" width="45.125" style="368" customWidth="1"/>
    <col min="514" max="514" width="6" style="368" customWidth="1"/>
    <col min="515" max="515" width="14.625" style="368" customWidth="1"/>
    <col min="516" max="516" width="45.125" style="368" customWidth="1"/>
    <col min="517" max="517" width="6" style="368" customWidth="1"/>
    <col min="518" max="518" width="14.625" style="368" customWidth="1"/>
    <col min="519" max="768" width="9" style="368"/>
    <col min="769" max="769" width="45.125" style="368" customWidth="1"/>
    <col min="770" max="770" width="6" style="368" customWidth="1"/>
    <col min="771" max="771" width="14.625" style="368" customWidth="1"/>
    <col min="772" max="772" width="45.125" style="368" customWidth="1"/>
    <col min="773" max="773" width="6" style="368" customWidth="1"/>
    <col min="774" max="774" width="14.625" style="368" customWidth="1"/>
    <col min="775" max="1024" width="9" style="368"/>
    <col min="1025" max="1025" width="45.125" style="368" customWidth="1"/>
    <col min="1026" max="1026" width="6" style="368" customWidth="1"/>
    <col min="1027" max="1027" width="14.625" style="368" customWidth="1"/>
    <col min="1028" max="1028" width="45.125" style="368" customWidth="1"/>
    <col min="1029" max="1029" width="6" style="368" customWidth="1"/>
    <col min="1030" max="1030" width="14.625" style="368" customWidth="1"/>
    <col min="1031" max="1280" width="9" style="368"/>
    <col min="1281" max="1281" width="45.125" style="368" customWidth="1"/>
    <col min="1282" max="1282" width="6" style="368" customWidth="1"/>
    <col min="1283" max="1283" width="14.625" style="368" customWidth="1"/>
    <col min="1284" max="1284" width="45.125" style="368" customWidth="1"/>
    <col min="1285" max="1285" width="6" style="368" customWidth="1"/>
    <col min="1286" max="1286" width="14.625" style="368" customWidth="1"/>
    <col min="1287" max="1536" width="9" style="368"/>
    <col min="1537" max="1537" width="45.125" style="368" customWidth="1"/>
    <col min="1538" max="1538" width="6" style="368" customWidth="1"/>
    <col min="1539" max="1539" width="14.625" style="368" customWidth="1"/>
    <col min="1540" max="1540" width="45.125" style="368" customWidth="1"/>
    <col min="1541" max="1541" width="6" style="368" customWidth="1"/>
    <col min="1542" max="1542" width="14.625" style="368" customWidth="1"/>
    <col min="1543" max="1792" width="9" style="368"/>
    <col min="1793" max="1793" width="45.125" style="368" customWidth="1"/>
    <col min="1794" max="1794" width="6" style="368" customWidth="1"/>
    <col min="1795" max="1795" width="14.625" style="368" customWidth="1"/>
    <col min="1796" max="1796" width="45.125" style="368" customWidth="1"/>
    <col min="1797" max="1797" width="6" style="368" customWidth="1"/>
    <col min="1798" max="1798" width="14.625" style="368" customWidth="1"/>
    <col min="1799" max="2048" width="9" style="368"/>
    <col min="2049" max="2049" width="45.125" style="368" customWidth="1"/>
    <col min="2050" max="2050" width="6" style="368" customWidth="1"/>
    <col min="2051" max="2051" width="14.625" style="368" customWidth="1"/>
    <col min="2052" max="2052" width="45.125" style="368" customWidth="1"/>
    <col min="2053" max="2053" width="6" style="368" customWidth="1"/>
    <col min="2054" max="2054" width="14.625" style="368" customWidth="1"/>
    <col min="2055" max="2304" width="9" style="368"/>
    <col min="2305" max="2305" width="45.125" style="368" customWidth="1"/>
    <col min="2306" max="2306" width="6" style="368" customWidth="1"/>
    <col min="2307" max="2307" width="14.625" style="368" customWidth="1"/>
    <col min="2308" max="2308" width="45.125" style="368" customWidth="1"/>
    <col min="2309" max="2309" width="6" style="368" customWidth="1"/>
    <col min="2310" max="2310" width="14.625" style="368" customWidth="1"/>
    <col min="2311" max="2560" width="9" style="368"/>
    <col min="2561" max="2561" width="45.125" style="368" customWidth="1"/>
    <col min="2562" max="2562" width="6" style="368" customWidth="1"/>
    <col min="2563" max="2563" width="14.625" style="368" customWidth="1"/>
    <col min="2564" max="2564" width="45.125" style="368" customWidth="1"/>
    <col min="2565" max="2565" width="6" style="368" customWidth="1"/>
    <col min="2566" max="2566" width="14.625" style="368" customWidth="1"/>
    <col min="2567" max="2816" width="9" style="368"/>
    <col min="2817" max="2817" width="45.125" style="368" customWidth="1"/>
    <col min="2818" max="2818" width="6" style="368" customWidth="1"/>
    <col min="2819" max="2819" width="14.625" style="368" customWidth="1"/>
    <col min="2820" max="2820" width="45.125" style="368" customWidth="1"/>
    <col min="2821" max="2821" width="6" style="368" customWidth="1"/>
    <col min="2822" max="2822" width="14.625" style="368" customWidth="1"/>
    <col min="2823" max="3072" width="9" style="368"/>
    <col min="3073" max="3073" width="45.125" style="368" customWidth="1"/>
    <col min="3074" max="3074" width="6" style="368" customWidth="1"/>
    <col min="3075" max="3075" width="14.625" style="368" customWidth="1"/>
    <col min="3076" max="3076" width="45.125" style="368" customWidth="1"/>
    <col min="3077" max="3077" width="6" style="368" customWidth="1"/>
    <col min="3078" max="3078" width="14.625" style="368" customWidth="1"/>
    <col min="3079" max="3328" width="9" style="368"/>
    <col min="3329" max="3329" width="45.125" style="368" customWidth="1"/>
    <col min="3330" max="3330" width="6" style="368" customWidth="1"/>
    <col min="3331" max="3331" width="14.625" style="368" customWidth="1"/>
    <col min="3332" max="3332" width="45.125" style="368" customWidth="1"/>
    <col min="3333" max="3333" width="6" style="368" customWidth="1"/>
    <col min="3334" max="3334" width="14.625" style="368" customWidth="1"/>
    <col min="3335" max="3584" width="9" style="368"/>
    <col min="3585" max="3585" width="45.125" style="368" customWidth="1"/>
    <col min="3586" max="3586" width="6" style="368" customWidth="1"/>
    <col min="3587" max="3587" width="14.625" style="368" customWidth="1"/>
    <col min="3588" max="3588" width="45.125" style="368" customWidth="1"/>
    <col min="3589" max="3589" width="6" style="368" customWidth="1"/>
    <col min="3590" max="3590" width="14.625" style="368" customWidth="1"/>
    <col min="3591" max="3840" width="9" style="368"/>
    <col min="3841" max="3841" width="45.125" style="368" customWidth="1"/>
    <col min="3842" max="3842" width="6" style="368" customWidth="1"/>
    <col min="3843" max="3843" width="14.625" style="368" customWidth="1"/>
    <col min="3844" max="3844" width="45.125" style="368" customWidth="1"/>
    <col min="3845" max="3845" width="6" style="368" customWidth="1"/>
    <col min="3846" max="3846" width="14.625" style="368" customWidth="1"/>
    <col min="3847" max="4096" width="9" style="368"/>
    <col min="4097" max="4097" width="45.125" style="368" customWidth="1"/>
    <col min="4098" max="4098" width="6" style="368" customWidth="1"/>
    <col min="4099" max="4099" width="14.625" style="368" customWidth="1"/>
    <col min="4100" max="4100" width="45.125" style="368" customWidth="1"/>
    <col min="4101" max="4101" width="6" style="368" customWidth="1"/>
    <col min="4102" max="4102" width="14.625" style="368" customWidth="1"/>
    <col min="4103" max="4352" width="9" style="368"/>
    <col min="4353" max="4353" width="45.125" style="368" customWidth="1"/>
    <col min="4354" max="4354" width="6" style="368" customWidth="1"/>
    <col min="4355" max="4355" width="14.625" style="368" customWidth="1"/>
    <col min="4356" max="4356" width="45.125" style="368" customWidth="1"/>
    <col min="4357" max="4357" width="6" style="368" customWidth="1"/>
    <col min="4358" max="4358" width="14.625" style="368" customWidth="1"/>
    <col min="4359" max="4608" width="9" style="368"/>
    <col min="4609" max="4609" width="45.125" style="368" customWidth="1"/>
    <col min="4610" max="4610" width="6" style="368" customWidth="1"/>
    <col min="4611" max="4611" width="14.625" style="368" customWidth="1"/>
    <col min="4612" max="4612" width="45.125" style="368" customWidth="1"/>
    <col min="4613" max="4613" width="6" style="368" customWidth="1"/>
    <col min="4614" max="4614" width="14.625" style="368" customWidth="1"/>
    <col min="4615" max="4864" width="9" style="368"/>
    <col min="4865" max="4865" width="45.125" style="368" customWidth="1"/>
    <col min="4866" max="4866" width="6" style="368" customWidth="1"/>
    <col min="4867" max="4867" width="14.625" style="368" customWidth="1"/>
    <col min="4868" max="4868" width="45.125" style="368" customWidth="1"/>
    <col min="4869" max="4869" width="6" style="368" customWidth="1"/>
    <col min="4870" max="4870" width="14.625" style="368" customWidth="1"/>
    <col min="4871" max="5120" width="9" style="368"/>
    <col min="5121" max="5121" width="45.125" style="368" customWidth="1"/>
    <col min="5122" max="5122" width="6" style="368" customWidth="1"/>
    <col min="5123" max="5123" width="14.625" style="368" customWidth="1"/>
    <col min="5124" max="5124" width="45.125" style="368" customWidth="1"/>
    <col min="5125" max="5125" width="6" style="368" customWidth="1"/>
    <col min="5126" max="5126" width="14.625" style="368" customWidth="1"/>
    <col min="5127" max="5376" width="9" style="368"/>
    <col min="5377" max="5377" width="45.125" style="368" customWidth="1"/>
    <col min="5378" max="5378" width="6" style="368" customWidth="1"/>
    <col min="5379" max="5379" width="14.625" style="368" customWidth="1"/>
    <col min="5380" max="5380" width="45.125" style="368" customWidth="1"/>
    <col min="5381" max="5381" width="6" style="368" customWidth="1"/>
    <col min="5382" max="5382" width="14.625" style="368" customWidth="1"/>
    <col min="5383" max="5632" width="9" style="368"/>
    <col min="5633" max="5633" width="45.125" style="368" customWidth="1"/>
    <col min="5634" max="5634" width="6" style="368" customWidth="1"/>
    <col min="5635" max="5635" width="14.625" style="368" customWidth="1"/>
    <col min="5636" max="5636" width="45.125" style="368" customWidth="1"/>
    <col min="5637" max="5637" width="6" style="368" customWidth="1"/>
    <col min="5638" max="5638" width="14.625" style="368" customWidth="1"/>
    <col min="5639" max="5888" width="9" style="368"/>
    <col min="5889" max="5889" width="45.125" style="368" customWidth="1"/>
    <col min="5890" max="5890" width="6" style="368" customWidth="1"/>
    <col min="5891" max="5891" width="14.625" style="368" customWidth="1"/>
    <col min="5892" max="5892" width="45.125" style="368" customWidth="1"/>
    <col min="5893" max="5893" width="6" style="368" customWidth="1"/>
    <col min="5894" max="5894" width="14.625" style="368" customWidth="1"/>
    <col min="5895" max="6144" width="9" style="368"/>
    <col min="6145" max="6145" width="45.125" style="368" customWidth="1"/>
    <col min="6146" max="6146" width="6" style="368" customWidth="1"/>
    <col min="6147" max="6147" width="14.625" style="368" customWidth="1"/>
    <col min="6148" max="6148" width="45.125" style="368" customWidth="1"/>
    <col min="6149" max="6149" width="6" style="368" customWidth="1"/>
    <col min="6150" max="6150" width="14.625" style="368" customWidth="1"/>
    <col min="6151" max="6400" width="9" style="368"/>
    <col min="6401" max="6401" width="45.125" style="368" customWidth="1"/>
    <col min="6402" max="6402" width="6" style="368" customWidth="1"/>
    <col min="6403" max="6403" width="14.625" style="368" customWidth="1"/>
    <col min="6404" max="6404" width="45.125" style="368" customWidth="1"/>
    <col min="6405" max="6405" width="6" style="368" customWidth="1"/>
    <col min="6406" max="6406" width="14.625" style="368" customWidth="1"/>
    <col min="6407" max="6656" width="9" style="368"/>
    <col min="6657" max="6657" width="45.125" style="368" customWidth="1"/>
    <col min="6658" max="6658" width="6" style="368" customWidth="1"/>
    <col min="6659" max="6659" width="14.625" style="368" customWidth="1"/>
    <col min="6660" max="6660" width="45.125" style="368" customWidth="1"/>
    <col min="6661" max="6661" width="6" style="368" customWidth="1"/>
    <col min="6662" max="6662" width="14.625" style="368" customWidth="1"/>
    <col min="6663" max="6912" width="9" style="368"/>
    <col min="6913" max="6913" width="45.125" style="368" customWidth="1"/>
    <col min="6914" max="6914" width="6" style="368" customWidth="1"/>
    <col min="6915" max="6915" width="14.625" style="368" customWidth="1"/>
    <col min="6916" max="6916" width="45.125" style="368" customWidth="1"/>
    <col min="6917" max="6917" width="6" style="368" customWidth="1"/>
    <col min="6918" max="6918" width="14.625" style="368" customWidth="1"/>
    <col min="6919" max="7168" width="9" style="368"/>
    <col min="7169" max="7169" width="45.125" style="368" customWidth="1"/>
    <col min="7170" max="7170" width="6" style="368" customWidth="1"/>
    <col min="7171" max="7171" width="14.625" style="368" customWidth="1"/>
    <col min="7172" max="7172" width="45.125" style="368" customWidth="1"/>
    <col min="7173" max="7173" width="6" style="368" customWidth="1"/>
    <col min="7174" max="7174" width="14.625" style="368" customWidth="1"/>
    <col min="7175" max="7424" width="9" style="368"/>
    <col min="7425" max="7425" width="45.125" style="368" customWidth="1"/>
    <col min="7426" max="7426" width="6" style="368" customWidth="1"/>
    <col min="7427" max="7427" width="14.625" style="368" customWidth="1"/>
    <col min="7428" max="7428" width="45.125" style="368" customWidth="1"/>
    <col min="7429" max="7429" width="6" style="368" customWidth="1"/>
    <col min="7430" max="7430" width="14.625" style="368" customWidth="1"/>
    <col min="7431" max="7680" width="9" style="368"/>
    <col min="7681" max="7681" width="45.125" style="368" customWidth="1"/>
    <col min="7682" max="7682" width="6" style="368" customWidth="1"/>
    <col min="7683" max="7683" width="14.625" style="368" customWidth="1"/>
    <col min="7684" max="7684" width="45.125" style="368" customWidth="1"/>
    <col min="7685" max="7685" width="6" style="368" customWidth="1"/>
    <col min="7686" max="7686" width="14.625" style="368" customWidth="1"/>
    <col min="7687" max="7936" width="9" style="368"/>
    <col min="7937" max="7937" width="45.125" style="368" customWidth="1"/>
    <col min="7938" max="7938" width="6" style="368" customWidth="1"/>
    <col min="7939" max="7939" width="14.625" style="368" customWidth="1"/>
    <col min="7940" max="7940" width="45.125" style="368" customWidth="1"/>
    <col min="7941" max="7941" width="6" style="368" customWidth="1"/>
    <col min="7942" max="7942" width="14.625" style="368" customWidth="1"/>
    <col min="7943" max="8192" width="9" style="368"/>
    <col min="8193" max="8193" width="45.125" style="368" customWidth="1"/>
    <col min="8194" max="8194" width="6" style="368" customWidth="1"/>
    <col min="8195" max="8195" width="14.625" style="368" customWidth="1"/>
    <col min="8196" max="8196" width="45.125" style="368" customWidth="1"/>
    <col min="8197" max="8197" width="6" style="368" customWidth="1"/>
    <col min="8198" max="8198" width="14.625" style="368" customWidth="1"/>
    <col min="8199" max="8448" width="9" style="368"/>
    <col min="8449" max="8449" width="45.125" style="368" customWidth="1"/>
    <col min="8450" max="8450" width="6" style="368" customWidth="1"/>
    <col min="8451" max="8451" width="14.625" style="368" customWidth="1"/>
    <col min="8452" max="8452" width="45.125" style="368" customWidth="1"/>
    <col min="8453" max="8453" width="6" style="368" customWidth="1"/>
    <col min="8454" max="8454" width="14.625" style="368" customWidth="1"/>
    <col min="8455" max="8704" width="9" style="368"/>
    <col min="8705" max="8705" width="45.125" style="368" customWidth="1"/>
    <col min="8706" max="8706" width="6" style="368" customWidth="1"/>
    <col min="8707" max="8707" width="14.625" style="368" customWidth="1"/>
    <col min="8708" max="8708" width="45.125" style="368" customWidth="1"/>
    <col min="8709" max="8709" width="6" style="368" customWidth="1"/>
    <col min="8710" max="8710" width="14.625" style="368" customWidth="1"/>
    <col min="8711" max="8960" width="9" style="368"/>
    <col min="8961" max="8961" width="45.125" style="368" customWidth="1"/>
    <col min="8962" max="8962" width="6" style="368" customWidth="1"/>
    <col min="8963" max="8963" width="14.625" style="368" customWidth="1"/>
    <col min="8964" max="8964" width="45.125" style="368" customWidth="1"/>
    <col min="8965" max="8965" width="6" style="368" customWidth="1"/>
    <col min="8966" max="8966" width="14.625" style="368" customWidth="1"/>
    <col min="8967" max="9216" width="9" style="368"/>
    <col min="9217" max="9217" width="45.125" style="368" customWidth="1"/>
    <col min="9218" max="9218" width="6" style="368" customWidth="1"/>
    <col min="9219" max="9219" width="14.625" style="368" customWidth="1"/>
    <col min="9220" max="9220" width="45.125" style="368" customWidth="1"/>
    <col min="9221" max="9221" width="6" style="368" customWidth="1"/>
    <col min="9222" max="9222" width="14.625" style="368" customWidth="1"/>
    <col min="9223" max="9472" width="9" style="368"/>
    <col min="9473" max="9473" width="45.125" style="368" customWidth="1"/>
    <col min="9474" max="9474" width="6" style="368" customWidth="1"/>
    <col min="9475" max="9475" width="14.625" style="368" customWidth="1"/>
    <col min="9476" max="9476" width="45.125" style="368" customWidth="1"/>
    <col min="9477" max="9477" width="6" style="368" customWidth="1"/>
    <col min="9478" max="9478" width="14.625" style="368" customWidth="1"/>
    <col min="9479" max="9728" width="9" style="368"/>
    <col min="9729" max="9729" width="45.125" style="368" customWidth="1"/>
    <col min="9730" max="9730" width="6" style="368" customWidth="1"/>
    <col min="9731" max="9731" width="14.625" style="368" customWidth="1"/>
    <col min="9732" max="9732" width="45.125" style="368" customWidth="1"/>
    <col min="9733" max="9733" width="6" style="368" customWidth="1"/>
    <col min="9734" max="9734" width="14.625" style="368" customWidth="1"/>
    <col min="9735" max="9984" width="9" style="368"/>
    <col min="9985" max="9985" width="45.125" style="368" customWidth="1"/>
    <col min="9986" max="9986" width="6" style="368" customWidth="1"/>
    <col min="9987" max="9987" width="14.625" style="368" customWidth="1"/>
    <col min="9988" max="9988" width="45.125" style="368" customWidth="1"/>
    <col min="9989" max="9989" width="6" style="368" customWidth="1"/>
    <col min="9990" max="9990" width="14.625" style="368" customWidth="1"/>
    <col min="9991" max="10240" width="9" style="368"/>
    <col min="10241" max="10241" width="45.125" style="368" customWidth="1"/>
    <col min="10242" max="10242" width="6" style="368" customWidth="1"/>
    <col min="10243" max="10243" width="14.625" style="368" customWidth="1"/>
    <col min="10244" max="10244" width="45.125" style="368" customWidth="1"/>
    <col min="10245" max="10245" width="6" style="368" customWidth="1"/>
    <col min="10246" max="10246" width="14.625" style="368" customWidth="1"/>
    <col min="10247" max="10496" width="9" style="368"/>
    <col min="10497" max="10497" width="45.125" style="368" customWidth="1"/>
    <col min="10498" max="10498" width="6" style="368" customWidth="1"/>
    <col min="10499" max="10499" width="14.625" style="368" customWidth="1"/>
    <col min="10500" max="10500" width="45.125" style="368" customWidth="1"/>
    <col min="10501" max="10501" width="6" style="368" customWidth="1"/>
    <col min="10502" max="10502" width="14.625" style="368" customWidth="1"/>
    <col min="10503" max="10752" width="9" style="368"/>
    <col min="10753" max="10753" width="45.125" style="368" customWidth="1"/>
    <col min="10754" max="10754" width="6" style="368" customWidth="1"/>
    <col min="10755" max="10755" width="14.625" style="368" customWidth="1"/>
    <col min="10756" max="10756" width="45.125" style="368" customWidth="1"/>
    <col min="10757" max="10757" width="6" style="368" customWidth="1"/>
    <col min="10758" max="10758" width="14.625" style="368" customWidth="1"/>
    <col min="10759" max="11008" width="9" style="368"/>
    <col min="11009" max="11009" width="45.125" style="368" customWidth="1"/>
    <col min="11010" max="11010" width="6" style="368" customWidth="1"/>
    <col min="11011" max="11011" width="14.625" style="368" customWidth="1"/>
    <col min="11012" max="11012" width="45.125" style="368" customWidth="1"/>
    <col min="11013" max="11013" width="6" style="368" customWidth="1"/>
    <col min="11014" max="11014" width="14.625" style="368" customWidth="1"/>
    <col min="11015" max="11264" width="9" style="368"/>
    <col min="11265" max="11265" width="45.125" style="368" customWidth="1"/>
    <col min="11266" max="11266" width="6" style="368" customWidth="1"/>
    <col min="11267" max="11267" width="14.625" style="368" customWidth="1"/>
    <col min="11268" max="11268" width="45.125" style="368" customWidth="1"/>
    <col min="11269" max="11269" width="6" style="368" customWidth="1"/>
    <col min="11270" max="11270" width="14.625" style="368" customWidth="1"/>
    <col min="11271" max="11520" width="9" style="368"/>
    <col min="11521" max="11521" width="45.125" style="368" customWidth="1"/>
    <col min="11522" max="11522" width="6" style="368" customWidth="1"/>
    <col min="11523" max="11523" width="14.625" style="368" customWidth="1"/>
    <col min="11524" max="11524" width="45.125" style="368" customWidth="1"/>
    <col min="11525" max="11525" width="6" style="368" customWidth="1"/>
    <col min="11526" max="11526" width="14.625" style="368" customWidth="1"/>
    <col min="11527" max="11776" width="9" style="368"/>
    <col min="11777" max="11777" width="45.125" style="368" customWidth="1"/>
    <col min="11778" max="11778" width="6" style="368" customWidth="1"/>
    <col min="11779" max="11779" width="14.625" style="368" customWidth="1"/>
    <col min="11780" max="11780" width="45.125" style="368" customWidth="1"/>
    <col min="11781" max="11781" width="6" style="368" customWidth="1"/>
    <col min="11782" max="11782" width="14.625" style="368" customWidth="1"/>
    <col min="11783" max="12032" width="9" style="368"/>
    <col min="12033" max="12033" width="45.125" style="368" customWidth="1"/>
    <col min="12034" max="12034" width="6" style="368" customWidth="1"/>
    <col min="12035" max="12035" width="14.625" style="368" customWidth="1"/>
    <col min="12036" max="12036" width="45.125" style="368" customWidth="1"/>
    <col min="12037" max="12037" width="6" style="368" customWidth="1"/>
    <col min="12038" max="12038" width="14.625" style="368" customWidth="1"/>
    <col min="12039" max="12288" width="9" style="368"/>
    <col min="12289" max="12289" width="45.125" style="368" customWidth="1"/>
    <col min="12290" max="12290" width="6" style="368" customWidth="1"/>
    <col min="12291" max="12291" width="14.625" style="368" customWidth="1"/>
    <col min="12292" max="12292" width="45.125" style="368" customWidth="1"/>
    <col min="12293" max="12293" width="6" style="368" customWidth="1"/>
    <col min="12294" max="12294" width="14.625" style="368" customWidth="1"/>
    <col min="12295" max="12544" width="9" style="368"/>
    <col min="12545" max="12545" width="45.125" style="368" customWidth="1"/>
    <col min="12546" max="12546" width="6" style="368" customWidth="1"/>
    <col min="12547" max="12547" width="14.625" style="368" customWidth="1"/>
    <col min="12548" max="12548" width="45.125" style="368" customWidth="1"/>
    <col min="12549" max="12549" width="6" style="368" customWidth="1"/>
    <col min="12550" max="12550" width="14.625" style="368" customWidth="1"/>
    <col min="12551" max="12800" width="9" style="368"/>
    <col min="12801" max="12801" width="45.125" style="368" customWidth="1"/>
    <col min="12802" max="12802" width="6" style="368" customWidth="1"/>
    <col min="12803" max="12803" width="14.625" style="368" customWidth="1"/>
    <col min="12804" max="12804" width="45.125" style="368" customWidth="1"/>
    <col min="12805" max="12805" width="6" style="368" customWidth="1"/>
    <col min="12806" max="12806" width="14.625" style="368" customWidth="1"/>
    <col min="12807" max="13056" width="9" style="368"/>
    <col min="13057" max="13057" width="45.125" style="368" customWidth="1"/>
    <col min="13058" max="13058" width="6" style="368" customWidth="1"/>
    <col min="13059" max="13059" width="14.625" style="368" customWidth="1"/>
    <col min="13060" max="13060" width="45.125" style="368" customWidth="1"/>
    <col min="13061" max="13061" width="6" style="368" customWidth="1"/>
    <col min="13062" max="13062" width="14.625" style="368" customWidth="1"/>
    <col min="13063" max="13312" width="9" style="368"/>
    <col min="13313" max="13313" width="45.125" style="368" customWidth="1"/>
    <col min="13314" max="13314" width="6" style="368" customWidth="1"/>
    <col min="13315" max="13315" width="14.625" style="368" customWidth="1"/>
    <col min="13316" max="13316" width="45.125" style="368" customWidth="1"/>
    <col min="13317" max="13317" width="6" style="368" customWidth="1"/>
    <col min="13318" max="13318" width="14.625" style="368" customWidth="1"/>
    <col min="13319" max="13568" width="9" style="368"/>
    <col min="13569" max="13569" width="45.125" style="368" customWidth="1"/>
    <col min="13570" max="13570" width="6" style="368" customWidth="1"/>
    <col min="13571" max="13571" width="14.625" style="368" customWidth="1"/>
    <col min="13572" max="13572" width="45.125" style="368" customWidth="1"/>
    <col min="13573" max="13573" width="6" style="368" customWidth="1"/>
    <col min="13574" max="13574" width="14.625" style="368" customWidth="1"/>
    <col min="13575" max="13824" width="9" style="368"/>
    <col min="13825" max="13825" width="45.125" style="368" customWidth="1"/>
    <col min="13826" max="13826" width="6" style="368" customWidth="1"/>
    <col min="13827" max="13827" width="14.625" style="368" customWidth="1"/>
    <col min="13828" max="13828" width="45.125" style="368" customWidth="1"/>
    <col min="13829" max="13829" width="6" style="368" customWidth="1"/>
    <col min="13830" max="13830" width="14.625" style="368" customWidth="1"/>
    <col min="13831" max="14080" width="9" style="368"/>
    <col min="14081" max="14081" width="45.125" style="368" customWidth="1"/>
    <col min="14082" max="14082" width="6" style="368" customWidth="1"/>
    <col min="14083" max="14083" width="14.625" style="368" customWidth="1"/>
    <col min="14084" max="14084" width="45.125" style="368" customWidth="1"/>
    <col min="14085" max="14085" width="6" style="368" customWidth="1"/>
    <col min="14086" max="14086" width="14.625" style="368" customWidth="1"/>
    <col min="14087" max="14336" width="9" style="368"/>
    <col min="14337" max="14337" width="45.125" style="368" customWidth="1"/>
    <col min="14338" max="14338" width="6" style="368" customWidth="1"/>
    <col min="14339" max="14339" width="14.625" style="368" customWidth="1"/>
    <col min="14340" max="14340" width="45.125" style="368" customWidth="1"/>
    <col min="14341" max="14341" width="6" style="368" customWidth="1"/>
    <col min="14342" max="14342" width="14.625" style="368" customWidth="1"/>
    <col min="14343" max="14592" width="9" style="368"/>
    <col min="14593" max="14593" width="45.125" style="368" customWidth="1"/>
    <col min="14594" max="14594" width="6" style="368" customWidth="1"/>
    <col min="14595" max="14595" width="14.625" style="368" customWidth="1"/>
    <col min="14596" max="14596" width="45.125" style="368" customWidth="1"/>
    <col min="14597" max="14597" width="6" style="368" customWidth="1"/>
    <col min="14598" max="14598" width="14.625" style="368" customWidth="1"/>
    <col min="14599" max="14848" width="9" style="368"/>
    <col min="14849" max="14849" width="45.125" style="368" customWidth="1"/>
    <col min="14850" max="14850" width="6" style="368" customWidth="1"/>
    <col min="14851" max="14851" width="14.625" style="368" customWidth="1"/>
    <col min="14852" max="14852" width="45.125" style="368" customWidth="1"/>
    <col min="14853" max="14853" width="6" style="368" customWidth="1"/>
    <col min="14854" max="14854" width="14.625" style="368" customWidth="1"/>
    <col min="14855" max="15104" width="9" style="368"/>
    <col min="15105" max="15105" width="45.125" style="368" customWidth="1"/>
    <col min="15106" max="15106" width="6" style="368" customWidth="1"/>
    <col min="15107" max="15107" width="14.625" style="368" customWidth="1"/>
    <col min="15108" max="15108" width="45.125" style="368" customWidth="1"/>
    <col min="15109" max="15109" width="6" style="368" customWidth="1"/>
    <col min="15110" max="15110" width="14.625" style="368" customWidth="1"/>
    <col min="15111" max="15360" width="9" style="368"/>
    <col min="15361" max="15361" width="45.125" style="368" customWidth="1"/>
    <col min="15362" max="15362" width="6" style="368" customWidth="1"/>
    <col min="15363" max="15363" width="14.625" style="368" customWidth="1"/>
    <col min="15364" max="15364" width="45.125" style="368" customWidth="1"/>
    <col min="15365" max="15365" width="6" style="368" customWidth="1"/>
    <col min="15366" max="15366" width="14.625" style="368" customWidth="1"/>
    <col min="15367" max="15616" width="9" style="368"/>
    <col min="15617" max="15617" width="45.125" style="368" customWidth="1"/>
    <col min="15618" max="15618" width="6" style="368" customWidth="1"/>
    <col min="15619" max="15619" width="14.625" style="368" customWidth="1"/>
    <col min="15620" max="15620" width="45.125" style="368" customWidth="1"/>
    <col min="15621" max="15621" width="6" style="368" customWidth="1"/>
    <col min="15622" max="15622" width="14.625" style="368" customWidth="1"/>
    <col min="15623" max="15872" width="9" style="368"/>
    <col min="15873" max="15873" width="45.125" style="368" customWidth="1"/>
    <col min="15874" max="15874" width="6" style="368" customWidth="1"/>
    <col min="15875" max="15875" width="14.625" style="368" customWidth="1"/>
    <col min="15876" max="15876" width="45.125" style="368" customWidth="1"/>
    <col min="15877" max="15877" width="6" style="368" customWidth="1"/>
    <col min="15878" max="15878" width="14.625" style="368" customWidth="1"/>
    <col min="15879" max="16128" width="9" style="368"/>
    <col min="16129" max="16129" width="45.125" style="368" customWidth="1"/>
    <col min="16130" max="16130" width="6" style="368" customWidth="1"/>
    <col min="16131" max="16131" width="14.625" style="368" customWidth="1"/>
    <col min="16132" max="16132" width="45.125" style="368" customWidth="1"/>
    <col min="16133" max="16133" width="6" style="368" customWidth="1"/>
    <col min="16134" max="16134" width="14.625" style="368" customWidth="1"/>
    <col min="16135" max="16384" width="9" style="368"/>
  </cols>
  <sheetData>
    <row r="1" spans="1:6" ht="36.75" customHeight="1">
      <c r="A1" s="732" t="s">
        <v>1914</v>
      </c>
      <c r="B1" s="732"/>
      <c r="C1" s="732"/>
      <c r="D1" s="732"/>
      <c r="E1" s="732"/>
      <c r="F1" s="732"/>
    </row>
    <row r="2" spans="1:6" ht="26.25" customHeight="1" thickBot="1">
      <c r="A2" s="343" t="s">
        <v>1526</v>
      </c>
      <c r="B2" s="369"/>
      <c r="C2" s="369"/>
      <c r="D2" s="369"/>
      <c r="E2" s="372"/>
      <c r="F2" s="371" t="s">
        <v>1915</v>
      </c>
    </row>
    <row r="3" spans="1:6" ht="36" customHeight="1" thickBot="1">
      <c r="A3" s="239" t="s">
        <v>1916</v>
      </c>
      <c r="B3" s="248" t="s">
        <v>1789</v>
      </c>
      <c r="C3" s="373" t="s">
        <v>1917</v>
      </c>
      <c r="D3" s="239" t="s">
        <v>1916</v>
      </c>
      <c r="E3" s="248" t="s">
        <v>1789</v>
      </c>
      <c r="F3" s="373" t="s">
        <v>1917</v>
      </c>
    </row>
    <row r="4" spans="1:6" ht="31.9" customHeight="1">
      <c r="A4" s="374" t="s">
        <v>1918</v>
      </c>
      <c r="B4" s="521" t="s">
        <v>1542</v>
      </c>
      <c r="C4" s="522" t="s">
        <v>1542</v>
      </c>
      <c r="D4" s="374" t="s">
        <v>1919</v>
      </c>
      <c r="E4" s="521" t="s">
        <v>1542</v>
      </c>
      <c r="F4" s="522" t="s">
        <v>1542</v>
      </c>
    </row>
    <row r="5" spans="1:6" ht="31.9" customHeight="1">
      <c r="A5" s="244" t="s">
        <v>1920</v>
      </c>
      <c r="B5" s="523" t="s">
        <v>1795</v>
      </c>
      <c r="C5" s="307">
        <v>1740390</v>
      </c>
      <c r="D5" s="244" t="s">
        <v>1920</v>
      </c>
      <c r="E5" s="523" t="s">
        <v>1831</v>
      </c>
      <c r="F5" s="307"/>
    </row>
    <row r="6" spans="1:6" ht="31.9" customHeight="1">
      <c r="A6" s="244" t="s">
        <v>1921</v>
      </c>
      <c r="B6" s="523" t="s">
        <v>1902</v>
      </c>
      <c r="C6" s="307">
        <v>8939213</v>
      </c>
      <c r="D6" s="244" t="s">
        <v>1922</v>
      </c>
      <c r="E6" s="523" t="s">
        <v>1831</v>
      </c>
      <c r="F6" s="308"/>
    </row>
    <row r="7" spans="1:6" ht="31.9" customHeight="1">
      <c r="A7" s="524" t="s">
        <v>1923</v>
      </c>
      <c r="B7" s="523" t="s">
        <v>1831</v>
      </c>
      <c r="C7" s="221">
        <v>0</v>
      </c>
      <c r="D7" s="244" t="s">
        <v>1924</v>
      </c>
      <c r="E7" s="523" t="s">
        <v>1831</v>
      </c>
      <c r="F7" s="245"/>
    </row>
    <row r="8" spans="1:6" ht="31.9" customHeight="1">
      <c r="A8" s="244" t="s">
        <v>1925</v>
      </c>
      <c r="B8" s="523" t="s">
        <v>1542</v>
      </c>
      <c r="C8" s="245" t="s">
        <v>1542</v>
      </c>
      <c r="D8" s="244" t="s">
        <v>1926</v>
      </c>
      <c r="E8" s="523" t="s">
        <v>1831</v>
      </c>
      <c r="F8" s="307">
        <v>0</v>
      </c>
    </row>
    <row r="9" spans="1:6" ht="31.9" customHeight="1">
      <c r="A9" s="244" t="s">
        <v>1920</v>
      </c>
      <c r="B9" s="523" t="s">
        <v>1831</v>
      </c>
      <c r="C9" s="245"/>
      <c r="D9" s="244" t="s">
        <v>1927</v>
      </c>
      <c r="E9" s="523" t="s">
        <v>1868</v>
      </c>
      <c r="F9" s="307"/>
    </row>
    <row r="10" spans="1:6" ht="31.9" customHeight="1">
      <c r="A10" s="244" t="s">
        <v>1928</v>
      </c>
      <c r="B10" s="523" t="s">
        <v>1831</v>
      </c>
      <c r="C10" s="245"/>
      <c r="D10" s="244" t="s">
        <v>1929</v>
      </c>
      <c r="E10" s="525" t="s">
        <v>1831</v>
      </c>
      <c r="F10" s="309"/>
    </row>
    <row r="11" spans="1:6" s="528" customFormat="1" ht="31.9" customHeight="1">
      <c r="A11" s="524" t="s">
        <v>1930</v>
      </c>
      <c r="B11" s="321" t="s">
        <v>1868</v>
      </c>
      <c r="C11" s="526"/>
      <c r="D11" s="527" t="s">
        <v>1931</v>
      </c>
      <c r="E11" s="506" t="s">
        <v>1542</v>
      </c>
      <c r="F11" s="511" t="s">
        <v>1542</v>
      </c>
    </row>
    <row r="12" spans="1:6" ht="31.9" customHeight="1">
      <c r="A12" s="244" t="s">
        <v>1923</v>
      </c>
      <c r="B12" s="523" t="s">
        <v>1831</v>
      </c>
      <c r="C12" s="245"/>
      <c r="D12" s="244" t="s">
        <v>1932</v>
      </c>
      <c r="E12" s="529" t="s">
        <v>1831</v>
      </c>
      <c r="F12" s="310"/>
    </row>
    <row r="13" spans="1:6" ht="31.9" customHeight="1">
      <c r="A13" s="244" t="s">
        <v>1933</v>
      </c>
      <c r="B13" s="523" t="s">
        <v>1868</v>
      </c>
      <c r="C13" s="245"/>
      <c r="D13" s="244" t="s">
        <v>1927</v>
      </c>
      <c r="E13" s="523" t="s">
        <v>1868</v>
      </c>
      <c r="F13" s="307"/>
    </row>
    <row r="14" spans="1:6" ht="31.9" customHeight="1" thickBot="1">
      <c r="A14" s="247" t="s">
        <v>1934</v>
      </c>
      <c r="B14" s="530" t="s">
        <v>1793</v>
      </c>
      <c r="C14" s="531"/>
      <c r="D14" s="247" t="s">
        <v>1935</v>
      </c>
      <c r="E14" s="530" t="s">
        <v>1868</v>
      </c>
      <c r="F14" s="311" t="s">
        <v>1542</v>
      </c>
    </row>
  </sheetData>
  <mergeCells count="1">
    <mergeCell ref="A1:F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orientation="landscape" errors="blank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>
      <selection activeCell="A3" sqref="A1:XFD1048576"/>
    </sheetView>
  </sheetViews>
  <sheetFormatPr defaultRowHeight="14.25" customHeight="1"/>
  <cols>
    <col min="1" max="1" width="34.75" style="368" bestFit="1" customWidth="1"/>
    <col min="2" max="2" width="8.125" style="368" bestFit="1" customWidth="1"/>
    <col min="3" max="3" width="21.125" style="368" customWidth="1"/>
    <col min="4" max="4" width="49.625" style="368" bestFit="1" customWidth="1"/>
    <col min="5" max="5" width="7.125" style="368" customWidth="1"/>
    <col min="6" max="6" width="21.125" style="368" customWidth="1"/>
    <col min="7" max="256" width="9" style="368"/>
    <col min="257" max="257" width="34.75" style="368" bestFit="1" customWidth="1"/>
    <col min="258" max="258" width="8.125" style="368" bestFit="1" customWidth="1"/>
    <col min="259" max="259" width="21.125" style="368" customWidth="1"/>
    <col min="260" max="260" width="49.625" style="368" bestFit="1" customWidth="1"/>
    <col min="261" max="261" width="7.125" style="368" customWidth="1"/>
    <col min="262" max="262" width="21.125" style="368" customWidth="1"/>
    <col min="263" max="512" width="9" style="368"/>
    <col min="513" max="513" width="34.75" style="368" bestFit="1" customWidth="1"/>
    <col min="514" max="514" width="8.125" style="368" bestFit="1" customWidth="1"/>
    <col min="515" max="515" width="21.125" style="368" customWidth="1"/>
    <col min="516" max="516" width="49.625" style="368" bestFit="1" customWidth="1"/>
    <col min="517" max="517" width="7.125" style="368" customWidth="1"/>
    <col min="518" max="518" width="21.125" style="368" customWidth="1"/>
    <col min="519" max="768" width="9" style="368"/>
    <col min="769" max="769" width="34.75" style="368" bestFit="1" customWidth="1"/>
    <col min="770" max="770" width="8.125" style="368" bestFit="1" customWidth="1"/>
    <col min="771" max="771" width="21.125" style="368" customWidth="1"/>
    <col min="772" max="772" width="49.625" style="368" bestFit="1" customWidth="1"/>
    <col min="773" max="773" width="7.125" style="368" customWidth="1"/>
    <col min="774" max="774" width="21.125" style="368" customWidth="1"/>
    <col min="775" max="1024" width="9" style="368"/>
    <col min="1025" max="1025" width="34.75" style="368" bestFit="1" customWidth="1"/>
    <col min="1026" max="1026" width="8.125" style="368" bestFit="1" customWidth="1"/>
    <col min="1027" max="1027" width="21.125" style="368" customWidth="1"/>
    <col min="1028" max="1028" width="49.625" style="368" bestFit="1" customWidth="1"/>
    <col min="1029" max="1029" width="7.125" style="368" customWidth="1"/>
    <col min="1030" max="1030" width="21.125" style="368" customWidth="1"/>
    <col min="1031" max="1280" width="9" style="368"/>
    <col min="1281" max="1281" width="34.75" style="368" bestFit="1" customWidth="1"/>
    <col min="1282" max="1282" width="8.125" style="368" bestFit="1" customWidth="1"/>
    <col min="1283" max="1283" width="21.125" style="368" customWidth="1"/>
    <col min="1284" max="1284" width="49.625" style="368" bestFit="1" customWidth="1"/>
    <col min="1285" max="1285" width="7.125" style="368" customWidth="1"/>
    <col min="1286" max="1286" width="21.125" style="368" customWidth="1"/>
    <col min="1287" max="1536" width="9" style="368"/>
    <col min="1537" max="1537" width="34.75" style="368" bestFit="1" customWidth="1"/>
    <col min="1538" max="1538" width="8.125" style="368" bestFit="1" customWidth="1"/>
    <col min="1539" max="1539" width="21.125" style="368" customWidth="1"/>
    <col min="1540" max="1540" width="49.625" style="368" bestFit="1" customWidth="1"/>
    <col min="1541" max="1541" width="7.125" style="368" customWidth="1"/>
    <col min="1542" max="1542" width="21.125" style="368" customWidth="1"/>
    <col min="1543" max="1792" width="9" style="368"/>
    <col min="1793" max="1793" width="34.75" style="368" bestFit="1" customWidth="1"/>
    <col min="1794" max="1794" width="8.125" style="368" bestFit="1" customWidth="1"/>
    <col min="1795" max="1795" width="21.125" style="368" customWidth="1"/>
    <col min="1796" max="1796" width="49.625" style="368" bestFit="1" customWidth="1"/>
    <col min="1797" max="1797" width="7.125" style="368" customWidth="1"/>
    <col min="1798" max="1798" width="21.125" style="368" customWidth="1"/>
    <col min="1799" max="2048" width="9" style="368"/>
    <col min="2049" max="2049" width="34.75" style="368" bestFit="1" customWidth="1"/>
    <col min="2050" max="2050" width="8.125" style="368" bestFit="1" customWidth="1"/>
    <col min="2051" max="2051" width="21.125" style="368" customWidth="1"/>
    <col min="2052" max="2052" width="49.625" style="368" bestFit="1" customWidth="1"/>
    <col min="2053" max="2053" width="7.125" style="368" customWidth="1"/>
    <col min="2054" max="2054" width="21.125" style="368" customWidth="1"/>
    <col min="2055" max="2304" width="9" style="368"/>
    <col min="2305" max="2305" width="34.75" style="368" bestFit="1" customWidth="1"/>
    <col min="2306" max="2306" width="8.125" style="368" bestFit="1" customWidth="1"/>
    <col min="2307" max="2307" width="21.125" style="368" customWidth="1"/>
    <col min="2308" max="2308" width="49.625" style="368" bestFit="1" customWidth="1"/>
    <col min="2309" max="2309" width="7.125" style="368" customWidth="1"/>
    <col min="2310" max="2310" width="21.125" style="368" customWidth="1"/>
    <col min="2311" max="2560" width="9" style="368"/>
    <col min="2561" max="2561" width="34.75" style="368" bestFit="1" customWidth="1"/>
    <col min="2562" max="2562" width="8.125" style="368" bestFit="1" customWidth="1"/>
    <col min="2563" max="2563" width="21.125" style="368" customWidth="1"/>
    <col min="2564" max="2564" width="49.625" style="368" bestFit="1" customWidth="1"/>
    <col min="2565" max="2565" width="7.125" style="368" customWidth="1"/>
    <col min="2566" max="2566" width="21.125" style="368" customWidth="1"/>
    <col min="2567" max="2816" width="9" style="368"/>
    <col min="2817" max="2817" width="34.75" style="368" bestFit="1" customWidth="1"/>
    <col min="2818" max="2818" width="8.125" style="368" bestFit="1" customWidth="1"/>
    <col min="2819" max="2819" width="21.125" style="368" customWidth="1"/>
    <col min="2820" max="2820" width="49.625" style="368" bestFit="1" customWidth="1"/>
    <col min="2821" max="2821" width="7.125" style="368" customWidth="1"/>
    <col min="2822" max="2822" width="21.125" style="368" customWidth="1"/>
    <col min="2823" max="3072" width="9" style="368"/>
    <col min="3073" max="3073" width="34.75" style="368" bestFit="1" customWidth="1"/>
    <col min="3074" max="3074" width="8.125" style="368" bestFit="1" customWidth="1"/>
    <col min="3075" max="3075" width="21.125" style="368" customWidth="1"/>
    <col min="3076" max="3076" width="49.625" style="368" bestFit="1" customWidth="1"/>
    <col min="3077" max="3077" width="7.125" style="368" customWidth="1"/>
    <col min="3078" max="3078" width="21.125" style="368" customWidth="1"/>
    <col min="3079" max="3328" width="9" style="368"/>
    <col min="3329" max="3329" width="34.75" style="368" bestFit="1" customWidth="1"/>
    <col min="3330" max="3330" width="8.125" style="368" bestFit="1" customWidth="1"/>
    <col min="3331" max="3331" width="21.125" style="368" customWidth="1"/>
    <col min="3332" max="3332" width="49.625" style="368" bestFit="1" customWidth="1"/>
    <col min="3333" max="3333" width="7.125" style="368" customWidth="1"/>
    <col min="3334" max="3334" width="21.125" style="368" customWidth="1"/>
    <col min="3335" max="3584" width="9" style="368"/>
    <col min="3585" max="3585" width="34.75" style="368" bestFit="1" customWidth="1"/>
    <col min="3586" max="3586" width="8.125" style="368" bestFit="1" customWidth="1"/>
    <col min="3587" max="3587" width="21.125" style="368" customWidth="1"/>
    <col min="3588" max="3588" width="49.625" style="368" bestFit="1" customWidth="1"/>
    <col min="3589" max="3589" width="7.125" style="368" customWidth="1"/>
    <col min="3590" max="3590" width="21.125" style="368" customWidth="1"/>
    <col min="3591" max="3840" width="9" style="368"/>
    <col min="3841" max="3841" width="34.75" style="368" bestFit="1" customWidth="1"/>
    <col min="3842" max="3842" width="8.125" style="368" bestFit="1" customWidth="1"/>
    <col min="3843" max="3843" width="21.125" style="368" customWidth="1"/>
    <col min="3844" max="3844" width="49.625" style="368" bestFit="1" customWidth="1"/>
    <col min="3845" max="3845" width="7.125" style="368" customWidth="1"/>
    <col min="3846" max="3846" width="21.125" style="368" customWidth="1"/>
    <col min="3847" max="4096" width="9" style="368"/>
    <col min="4097" max="4097" width="34.75" style="368" bestFit="1" customWidth="1"/>
    <col min="4098" max="4098" width="8.125" style="368" bestFit="1" customWidth="1"/>
    <col min="4099" max="4099" width="21.125" style="368" customWidth="1"/>
    <col min="4100" max="4100" width="49.625" style="368" bestFit="1" customWidth="1"/>
    <col min="4101" max="4101" width="7.125" style="368" customWidth="1"/>
    <col min="4102" max="4102" width="21.125" style="368" customWidth="1"/>
    <col min="4103" max="4352" width="9" style="368"/>
    <col min="4353" max="4353" width="34.75" style="368" bestFit="1" customWidth="1"/>
    <col min="4354" max="4354" width="8.125" style="368" bestFit="1" customWidth="1"/>
    <col min="4355" max="4355" width="21.125" style="368" customWidth="1"/>
    <col min="4356" max="4356" width="49.625" style="368" bestFit="1" customWidth="1"/>
    <col min="4357" max="4357" width="7.125" style="368" customWidth="1"/>
    <col min="4358" max="4358" width="21.125" style="368" customWidth="1"/>
    <col min="4359" max="4608" width="9" style="368"/>
    <col min="4609" max="4609" width="34.75" style="368" bestFit="1" customWidth="1"/>
    <col min="4610" max="4610" width="8.125" style="368" bestFit="1" customWidth="1"/>
    <col min="4611" max="4611" width="21.125" style="368" customWidth="1"/>
    <col min="4612" max="4612" width="49.625" style="368" bestFit="1" customWidth="1"/>
    <col min="4613" max="4613" width="7.125" style="368" customWidth="1"/>
    <col min="4614" max="4614" width="21.125" style="368" customWidth="1"/>
    <col min="4615" max="4864" width="9" style="368"/>
    <col min="4865" max="4865" width="34.75" style="368" bestFit="1" customWidth="1"/>
    <col min="4866" max="4866" width="8.125" style="368" bestFit="1" customWidth="1"/>
    <col min="4867" max="4867" width="21.125" style="368" customWidth="1"/>
    <col min="4868" max="4868" width="49.625" style="368" bestFit="1" customWidth="1"/>
    <col min="4869" max="4869" width="7.125" style="368" customWidth="1"/>
    <col min="4870" max="4870" width="21.125" style="368" customWidth="1"/>
    <col min="4871" max="5120" width="9" style="368"/>
    <col min="5121" max="5121" width="34.75" style="368" bestFit="1" customWidth="1"/>
    <col min="5122" max="5122" width="8.125" style="368" bestFit="1" customWidth="1"/>
    <col min="5123" max="5123" width="21.125" style="368" customWidth="1"/>
    <col min="5124" max="5124" width="49.625" style="368" bestFit="1" customWidth="1"/>
    <col min="5125" max="5125" width="7.125" style="368" customWidth="1"/>
    <col min="5126" max="5126" width="21.125" style="368" customWidth="1"/>
    <col min="5127" max="5376" width="9" style="368"/>
    <col min="5377" max="5377" width="34.75" style="368" bestFit="1" customWidth="1"/>
    <col min="5378" max="5378" width="8.125" style="368" bestFit="1" customWidth="1"/>
    <col min="5379" max="5379" width="21.125" style="368" customWidth="1"/>
    <col min="5380" max="5380" width="49.625" style="368" bestFit="1" customWidth="1"/>
    <col min="5381" max="5381" width="7.125" style="368" customWidth="1"/>
    <col min="5382" max="5382" width="21.125" style="368" customWidth="1"/>
    <col min="5383" max="5632" width="9" style="368"/>
    <col min="5633" max="5633" width="34.75" style="368" bestFit="1" customWidth="1"/>
    <col min="5634" max="5634" width="8.125" style="368" bestFit="1" customWidth="1"/>
    <col min="5635" max="5635" width="21.125" style="368" customWidth="1"/>
    <col min="5636" max="5636" width="49.625" style="368" bestFit="1" customWidth="1"/>
    <col min="5637" max="5637" width="7.125" style="368" customWidth="1"/>
    <col min="5638" max="5638" width="21.125" style="368" customWidth="1"/>
    <col min="5639" max="5888" width="9" style="368"/>
    <col min="5889" max="5889" width="34.75" style="368" bestFit="1" customWidth="1"/>
    <col min="5890" max="5890" width="8.125" style="368" bestFit="1" customWidth="1"/>
    <col min="5891" max="5891" width="21.125" style="368" customWidth="1"/>
    <col min="5892" max="5892" width="49.625" style="368" bestFit="1" customWidth="1"/>
    <col min="5893" max="5893" width="7.125" style="368" customWidth="1"/>
    <col min="5894" max="5894" width="21.125" style="368" customWidth="1"/>
    <col min="5895" max="6144" width="9" style="368"/>
    <col min="6145" max="6145" width="34.75" style="368" bestFit="1" customWidth="1"/>
    <col min="6146" max="6146" width="8.125" style="368" bestFit="1" customWidth="1"/>
    <col min="6147" max="6147" width="21.125" style="368" customWidth="1"/>
    <col min="6148" max="6148" width="49.625" style="368" bestFit="1" customWidth="1"/>
    <col min="6149" max="6149" width="7.125" style="368" customWidth="1"/>
    <col min="6150" max="6150" width="21.125" style="368" customWidth="1"/>
    <col min="6151" max="6400" width="9" style="368"/>
    <col min="6401" max="6401" width="34.75" style="368" bestFit="1" customWidth="1"/>
    <col min="6402" max="6402" width="8.125" style="368" bestFit="1" customWidth="1"/>
    <col min="6403" max="6403" width="21.125" style="368" customWidth="1"/>
    <col min="6404" max="6404" width="49.625" style="368" bestFit="1" customWidth="1"/>
    <col min="6405" max="6405" width="7.125" style="368" customWidth="1"/>
    <col min="6406" max="6406" width="21.125" style="368" customWidth="1"/>
    <col min="6407" max="6656" width="9" style="368"/>
    <col min="6657" max="6657" width="34.75" style="368" bestFit="1" customWidth="1"/>
    <col min="6658" max="6658" width="8.125" style="368" bestFit="1" customWidth="1"/>
    <col min="6659" max="6659" width="21.125" style="368" customWidth="1"/>
    <col min="6660" max="6660" width="49.625" style="368" bestFit="1" customWidth="1"/>
    <col min="6661" max="6661" width="7.125" style="368" customWidth="1"/>
    <col min="6662" max="6662" width="21.125" style="368" customWidth="1"/>
    <col min="6663" max="6912" width="9" style="368"/>
    <col min="6913" max="6913" width="34.75" style="368" bestFit="1" customWidth="1"/>
    <col min="6914" max="6914" width="8.125" style="368" bestFit="1" customWidth="1"/>
    <col min="6915" max="6915" width="21.125" style="368" customWidth="1"/>
    <col min="6916" max="6916" width="49.625" style="368" bestFit="1" customWidth="1"/>
    <col min="6917" max="6917" width="7.125" style="368" customWidth="1"/>
    <col min="6918" max="6918" width="21.125" style="368" customWidth="1"/>
    <col min="6919" max="7168" width="9" style="368"/>
    <col min="7169" max="7169" width="34.75" style="368" bestFit="1" customWidth="1"/>
    <col min="7170" max="7170" width="8.125" style="368" bestFit="1" customWidth="1"/>
    <col min="7171" max="7171" width="21.125" style="368" customWidth="1"/>
    <col min="7172" max="7172" width="49.625" style="368" bestFit="1" customWidth="1"/>
    <col min="7173" max="7173" width="7.125" style="368" customWidth="1"/>
    <col min="7174" max="7174" width="21.125" style="368" customWidth="1"/>
    <col min="7175" max="7424" width="9" style="368"/>
    <col min="7425" max="7425" width="34.75" style="368" bestFit="1" customWidth="1"/>
    <col min="7426" max="7426" width="8.125" style="368" bestFit="1" customWidth="1"/>
    <col min="7427" max="7427" width="21.125" style="368" customWidth="1"/>
    <col min="7428" max="7428" width="49.625" style="368" bestFit="1" customWidth="1"/>
    <col min="7429" max="7429" width="7.125" style="368" customWidth="1"/>
    <col min="7430" max="7430" width="21.125" style="368" customWidth="1"/>
    <col min="7431" max="7680" width="9" style="368"/>
    <col min="7681" max="7681" width="34.75" style="368" bestFit="1" customWidth="1"/>
    <col min="7682" max="7682" width="8.125" style="368" bestFit="1" customWidth="1"/>
    <col min="7683" max="7683" width="21.125" style="368" customWidth="1"/>
    <col min="7684" max="7684" width="49.625" style="368" bestFit="1" customWidth="1"/>
    <col min="7685" max="7685" width="7.125" style="368" customWidth="1"/>
    <col min="7686" max="7686" width="21.125" style="368" customWidth="1"/>
    <col min="7687" max="7936" width="9" style="368"/>
    <col min="7937" max="7937" width="34.75" style="368" bestFit="1" customWidth="1"/>
    <col min="7938" max="7938" width="8.125" style="368" bestFit="1" customWidth="1"/>
    <col min="7939" max="7939" width="21.125" style="368" customWidth="1"/>
    <col min="7940" max="7940" width="49.625" style="368" bestFit="1" customWidth="1"/>
    <col min="7941" max="7941" width="7.125" style="368" customWidth="1"/>
    <col min="7942" max="7942" width="21.125" style="368" customWidth="1"/>
    <col min="7943" max="8192" width="9" style="368"/>
    <col min="8193" max="8193" width="34.75" style="368" bestFit="1" customWidth="1"/>
    <col min="8194" max="8194" width="8.125" style="368" bestFit="1" customWidth="1"/>
    <col min="8195" max="8195" width="21.125" style="368" customWidth="1"/>
    <col min="8196" max="8196" width="49.625" style="368" bestFit="1" customWidth="1"/>
    <col min="8197" max="8197" width="7.125" style="368" customWidth="1"/>
    <col min="8198" max="8198" width="21.125" style="368" customWidth="1"/>
    <col min="8199" max="8448" width="9" style="368"/>
    <col min="8449" max="8449" width="34.75" style="368" bestFit="1" customWidth="1"/>
    <col min="8450" max="8450" width="8.125" style="368" bestFit="1" customWidth="1"/>
    <col min="8451" max="8451" width="21.125" style="368" customWidth="1"/>
    <col min="8452" max="8452" width="49.625" style="368" bestFit="1" customWidth="1"/>
    <col min="8453" max="8453" width="7.125" style="368" customWidth="1"/>
    <col min="8454" max="8454" width="21.125" style="368" customWidth="1"/>
    <col min="8455" max="8704" width="9" style="368"/>
    <col min="8705" max="8705" width="34.75" style="368" bestFit="1" customWidth="1"/>
    <col min="8706" max="8706" width="8.125" style="368" bestFit="1" customWidth="1"/>
    <col min="8707" max="8707" width="21.125" style="368" customWidth="1"/>
    <col min="8708" max="8708" width="49.625" style="368" bestFit="1" customWidth="1"/>
    <col min="8709" max="8709" width="7.125" style="368" customWidth="1"/>
    <col min="8710" max="8710" width="21.125" style="368" customWidth="1"/>
    <col min="8711" max="8960" width="9" style="368"/>
    <col min="8961" max="8961" width="34.75" style="368" bestFit="1" customWidth="1"/>
    <col min="8962" max="8962" width="8.125" style="368" bestFit="1" customWidth="1"/>
    <col min="8963" max="8963" width="21.125" style="368" customWidth="1"/>
    <col min="8964" max="8964" width="49.625" style="368" bestFit="1" customWidth="1"/>
    <col min="8965" max="8965" width="7.125" style="368" customWidth="1"/>
    <col min="8966" max="8966" width="21.125" style="368" customWidth="1"/>
    <col min="8967" max="9216" width="9" style="368"/>
    <col min="9217" max="9217" width="34.75" style="368" bestFit="1" customWidth="1"/>
    <col min="9218" max="9218" width="8.125" style="368" bestFit="1" customWidth="1"/>
    <col min="9219" max="9219" width="21.125" style="368" customWidth="1"/>
    <col min="9220" max="9220" width="49.625" style="368" bestFit="1" customWidth="1"/>
    <col min="9221" max="9221" width="7.125" style="368" customWidth="1"/>
    <col min="9222" max="9222" width="21.125" style="368" customWidth="1"/>
    <col min="9223" max="9472" width="9" style="368"/>
    <col min="9473" max="9473" width="34.75" style="368" bestFit="1" customWidth="1"/>
    <col min="9474" max="9474" width="8.125" style="368" bestFit="1" customWidth="1"/>
    <col min="9475" max="9475" width="21.125" style="368" customWidth="1"/>
    <col min="9476" max="9476" width="49.625" style="368" bestFit="1" customWidth="1"/>
    <col min="9477" max="9477" width="7.125" style="368" customWidth="1"/>
    <col min="9478" max="9478" width="21.125" style="368" customWidth="1"/>
    <col min="9479" max="9728" width="9" style="368"/>
    <col min="9729" max="9729" width="34.75" style="368" bestFit="1" customWidth="1"/>
    <col min="9730" max="9730" width="8.125" style="368" bestFit="1" customWidth="1"/>
    <col min="9731" max="9731" width="21.125" style="368" customWidth="1"/>
    <col min="9732" max="9732" width="49.625" style="368" bestFit="1" customWidth="1"/>
    <col min="9733" max="9733" width="7.125" style="368" customWidth="1"/>
    <col min="9734" max="9734" width="21.125" style="368" customWidth="1"/>
    <col min="9735" max="9984" width="9" style="368"/>
    <col min="9985" max="9985" width="34.75" style="368" bestFit="1" customWidth="1"/>
    <col min="9986" max="9986" width="8.125" style="368" bestFit="1" customWidth="1"/>
    <col min="9987" max="9987" width="21.125" style="368" customWidth="1"/>
    <col min="9988" max="9988" width="49.625" style="368" bestFit="1" customWidth="1"/>
    <col min="9989" max="9989" width="7.125" style="368" customWidth="1"/>
    <col min="9990" max="9990" width="21.125" style="368" customWidth="1"/>
    <col min="9991" max="10240" width="9" style="368"/>
    <col min="10241" max="10241" width="34.75" style="368" bestFit="1" customWidth="1"/>
    <col min="10242" max="10242" width="8.125" style="368" bestFit="1" customWidth="1"/>
    <col min="10243" max="10243" width="21.125" style="368" customWidth="1"/>
    <col min="10244" max="10244" width="49.625" style="368" bestFit="1" customWidth="1"/>
    <col min="10245" max="10245" width="7.125" style="368" customWidth="1"/>
    <col min="10246" max="10246" width="21.125" style="368" customWidth="1"/>
    <col min="10247" max="10496" width="9" style="368"/>
    <col min="10497" max="10497" width="34.75" style="368" bestFit="1" customWidth="1"/>
    <col min="10498" max="10498" width="8.125" style="368" bestFit="1" customWidth="1"/>
    <col min="10499" max="10499" width="21.125" style="368" customWidth="1"/>
    <col min="10500" max="10500" width="49.625" style="368" bestFit="1" customWidth="1"/>
    <col min="10501" max="10501" width="7.125" style="368" customWidth="1"/>
    <col min="10502" max="10502" width="21.125" style="368" customWidth="1"/>
    <col min="10503" max="10752" width="9" style="368"/>
    <col min="10753" max="10753" width="34.75" style="368" bestFit="1" customWidth="1"/>
    <col min="10754" max="10754" width="8.125" style="368" bestFit="1" customWidth="1"/>
    <col min="10755" max="10755" width="21.125" style="368" customWidth="1"/>
    <col min="10756" max="10756" width="49.625" style="368" bestFit="1" customWidth="1"/>
    <col min="10757" max="10757" width="7.125" style="368" customWidth="1"/>
    <col min="10758" max="10758" width="21.125" style="368" customWidth="1"/>
    <col min="10759" max="11008" width="9" style="368"/>
    <col min="11009" max="11009" width="34.75" style="368" bestFit="1" customWidth="1"/>
    <col min="11010" max="11010" width="8.125" style="368" bestFit="1" customWidth="1"/>
    <col min="11011" max="11011" width="21.125" style="368" customWidth="1"/>
    <col min="11012" max="11012" width="49.625" style="368" bestFit="1" customWidth="1"/>
    <col min="11013" max="11013" width="7.125" style="368" customWidth="1"/>
    <col min="11014" max="11014" width="21.125" style="368" customWidth="1"/>
    <col min="11015" max="11264" width="9" style="368"/>
    <col min="11265" max="11265" width="34.75" style="368" bestFit="1" customWidth="1"/>
    <col min="11266" max="11266" width="8.125" style="368" bestFit="1" customWidth="1"/>
    <col min="11267" max="11267" width="21.125" style="368" customWidth="1"/>
    <col min="11268" max="11268" width="49.625" style="368" bestFit="1" customWidth="1"/>
    <col min="11269" max="11269" width="7.125" style="368" customWidth="1"/>
    <col min="11270" max="11270" width="21.125" style="368" customWidth="1"/>
    <col min="11271" max="11520" width="9" style="368"/>
    <col min="11521" max="11521" width="34.75" style="368" bestFit="1" customWidth="1"/>
    <col min="11522" max="11522" width="8.125" style="368" bestFit="1" customWidth="1"/>
    <col min="11523" max="11523" width="21.125" style="368" customWidth="1"/>
    <col min="11524" max="11524" width="49.625" style="368" bestFit="1" customWidth="1"/>
    <col min="11525" max="11525" width="7.125" style="368" customWidth="1"/>
    <col min="11526" max="11526" width="21.125" style="368" customWidth="1"/>
    <col min="11527" max="11776" width="9" style="368"/>
    <col min="11777" max="11777" width="34.75" style="368" bestFit="1" customWidth="1"/>
    <col min="11778" max="11778" width="8.125" style="368" bestFit="1" customWidth="1"/>
    <col min="11779" max="11779" width="21.125" style="368" customWidth="1"/>
    <col min="11780" max="11780" width="49.625" style="368" bestFit="1" customWidth="1"/>
    <col min="11781" max="11781" width="7.125" style="368" customWidth="1"/>
    <col min="11782" max="11782" width="21.125" style="368" customWidth="1"/>
    <col min="11783" max="12032" width="9" style="368"/>
    <col min="12033" max="12033" width="34.75" style="368" bestFit="1" customWidth="1"/>
    <col min="12034" max="12034" width="8.125" style="368" bestFit="1" customWidth="1"/>
    <col min="12035" max="12035" width="21.125" style="368" customWidth="1"/>
    <col min="12036" max="12036" width="49.625" style="368" bestFit="1" customWidth="1"/>
    <col min="12037" max="12037" width="7.125" style="368" customWidth="1"/>
    <col min="12038" max="12038" width="21.125" style="368" customWidth="1"/>
    <col min="12039" max="12288" width="9" style="368"/>
    <col min="12289" max="12289" width="34.75" style="368" bestFit="1" customWidth="1"/>
    <col min="12290" max="12290" width="8.125" style="368" bestFit="1" customWidth="1"/>
    <col min="12291" max="12291" width="21.125" style="368" customWidth="1"/>
    <col min="12292" max="12292" width="49.625" style="368" bestFit="1" customWidth="1"/>
    <col min="12293" max="12293" width="7.125" style="368" customWidth="1"/>
    <col min="12294" max="12294" width="21.125" style="368" customWidth="1"/>
    <col min="12295" max="12544" width="9" style="368"/>
    <col min="12545" max="12545" width="34.75" style="368" bestFit="1" customWidth="1"/>
    <col min="12546" max="12546" width="8.125" style="368" bestFit="1" customWidth="1"/>
    <col min="12547" max="12547" width="21.125" style="368" customWidth="1"/>
    <col min="12548" max="12548" width="49.625" style="368" bestFit="1" customWidth="1"/>
    <col min="12549" max="12549" width="7.125" style="368" customWidth="1"/>
    <col min="12550" max="12550" width="21.125" style="368" customWidth="1"/>
    <col min="12551" max="12800" width="9" style="368"/>
    <col min="12801" max="12801" width="34.75" style="368" bestFit="1" customWidth="1"/>
    <col min="12802" max="12802" width="8.125" style="368" bestFit="1" customWidth="1"/>
    <col min="12803" max="12803" width="21.125" style="368" customWidth="1"/>
    <col min="12804" max="12804" width="49.625" style="368" bestFit="1" customWidth="1"/>
    <col min="12805" max="12805" width="7.125" style="368" customWidth="1"/>
    <col min="12806" max="12806" width="21.125" style="368" customWidth="1"/>
    <col min="12807" max="13056" width="9" style="368"/>
    <col min="13057" max="13057" width="34.75" style="368" bestFit="1" customWidth="1"/>
    <col min="13058" max="13058" width="8.125" style="368" bestFit="1" customWidth="1"/>
    <col min="13059" max="13059" width="21.125" style="368" customWidth="1"/>
    <col min="13060" max="13060" width="49.625" style="368" bestFit="1" customWidth="1"/>
    <col min="13061" max="13061" width="7.125" style="368" customWidth="1"/>
    <col min="13062" max="13062" width="21.125" style="368" customWidth="1"/>
    <col min="13063" max="13312" width="9" style="368"/>
    <col min="13313" max="13313" width="34.75" style="368" bestFit="1" customWidth="1"/>
    <col min="13314" max="13314" width="8.125" style="368" bestFit="1" customWidth="1"/>
    <col min="13315" max="13315" width="21.125" style="368" customWidth="1"/>
    <col min="13316" max="13316" width="49.625" style="368" bestFit="1" customWidth="1"/>
    <col min="13317" max="13317" width="7.125" style="368" customWidth="1"/>
    <col min="13318" max="13318" width="21.125" style="368" customWidth="1"/>
    <col min="13319" max="13568" width="9" style="368"/>
    <col min="13569" max="13569" width="34.75" style="368" bestFit="1" customWidth="1"/>
    <col min="13570" max="13570" width="8.125" style="368" bestFit="1" customWidth="1"/>
    <col min="13571" max="13571" width="21.125" style="368" customWidth="1"/>
    <col min="13572" max="13572" width="49.625" style="368" bestFit="1" customWidth="1"/>
    <col min="13573" max="13573" width="7.125" style="368" customWidth="1"/>
    <col min="13574" max="13574" width="21.125" style="368" customWidth="1"/>
    <col min="13575" max="13824" width="9" style="368"/>
    <col min="13825" max="13825" width="34.75" style="368" bestFit="1" customWidth="1"/>
    <col min="13826" max="13826" width="8.125" style="368" bestFit="1" customWidth="1"/>
    <col min="13827" max="13827" width="21.125" style="368" customWidth="1"/>
    <col min="13828" max="13828" width="49.625" style="368" bestFit="1" customWidth="1"/>
    <col min="13829" max="13829" width="7.125" style="368" customWidth="1"/>
    <col min="13830" max="13830" width="21.125" style="368" customWidth="1"/>
    <col min="13831" max="14080" width="9" style="368"/>
    <col min="14081" max="14081" width="34.75" style="368" bestFit="1" customWidth="1"/>
    <col min="14082" max="14082" width="8.125" style="368" bestFit="1" customWidth="1"/>
    <col min="14083" max="14083" width="21.125" style="368" customWidth="1"/>
    <col min="14084" max="14084" width="49.625" style="368" bestFit="1" customWidth="1"/>
    <col min="14085" max="14085" width="7.125" style="368" customWidth="1"/>
    <col min="14086" max="14086" width="21.125" style="368" customWidth="1"/>
    <col min="14087" max="14336" width="9" style="368"/>
    <col min="14337" max="14337" width="34.75" style="368" bestFit="1" customWidth="1"/>
    <col min="14338" max="14338" width="8.125" style="368" bestFit="1" customWidth="1"/>
    <col min="14339" max="14339" width="21.125" style="368" customWidth="1"/>
    <col min="14340" max="14340" width="49.625" style="368" bestFit="1" customWidth="1"/>
    <col min="14341" max="14341" width="7.125" style="368" customWidth="1"/>
    <col min="14342" max="14342" width="21.125" style="368" customWidth="1"/>
    <col min="14343" max="14592" width="9" style="368"/>
    <col min="14593" max="14593" width="34.75" style="368" bestFit="1" customWidth="1"/>
    <col min="14594" max="14594" width="8.125" style="368" bestFit="1" customWidth="1"/>
    <col min="14595" max="14595" width="21.125" style="368" customWidth="1"/>
    <col min="14596" max="14596" width="49.625" style="368" bestFit="1" customWidth="1"/>
    <col min="14597" max="14597" width="7.125" style="368" customWidth="1"/>
    <col min="14598" max="14598" width="21.125" style="368" customWidth="1"/>
    <col min="14599" max="14848" width="9" style="368"/>
    <col min="14849" max="14849" width="34.75" style="368" bestFit="1" customWidth="1"/>
    <col min="14850" max="14850" width="8.125" style="368" bestFit="1" customWidth="1"/>
    <col min="14851" max="14851" width="21.125" style="368" customWidth="1"/>
    <col min="14852" max="14852" width="49.625" style="368" bestFit="1" customWidth="1"/>
    <col min="14853" max="14853" width="7.125" style="368" customWidth="1"/>
    <col min="14854" max="14854" width="21.125" style="368" customWidth="1"/>
    <col min="14855" max="15104" width="9" style="368"/>
    <col min="15105" max="15105" width="34.75" style="368" bestFit="1" customWidth="1"/>
    <col min="15106" max="15106" width="8.125" style="368" bestFit="1" customWidth="1"/>
    <col min="15107" max="15107" width="21.125" style="368" customWidth="1"/>
    <col min="15108" max="15108" width="49.625" style="368" bestFit="1" customWidth="1"/>
    <col min="15109" max="15109" width="7.125" style="368" customWidth="1"/>
    <col min="15110" max="15110" width="21.125" style="368" customWidth="1"/>
    <col min="15111" max="15360" width="9" style="368"/>
    <col min="15361" max="15361" width="34.75" style="368" bestFit="1" customWidth="1"/>
    <col min="15362" max="15362" width="8.125" style="368" bestFit="1" customWidth="1"/>
    <col min="15363" max="15363" width="21.125" style="368" customWidth="1"/>
    <col min="15364" max="15364" width="49.625" style="368" bestFit="1" customWidth="1"/>
    <col min="15365" max="15365" width="7.125" style="368" customWidth="1"/>
    <col min="15366" max="15366" width="21.125" style="368" customWidth="1"/>
    <col min="15367" max="15616" width="9" style="368"/>
    <col min="15617" max="15617" width="34.75" style="368" bestFit="1" customWidth="1"/>
    <col min="15618" max="15618" width="8.125" style="368" bestFit="1" customWidth="1"/>
    <col min="15619" max="15619" width="21.125" style="368" customWidth="1"/>
    <col min="15620" max="15620" width="49.625" style="368" bestFit="1" customWidth="1"/>
    <col min="15621" max="15621" width="7.125" style="368" customWidth="1"/>
    <col min="15622" max="15622" width="21.125" style="368" customWidth="1"/>
    <col min="15623" max="15872" width="9" style="368"/>
    <col min="15873" max="15873" width="34.75" style="368" bestFit="1" customWidth="1"/>
    <col min="15874" max="15874" width="8.125" style="368" bestFit="1" customWidth="1"/>
    <col min="15875" max="15875" width="21.125" style="368" customWidth="1"/>
    <col min="15876" max="15876" width="49.625" style="368" bestFit="1" customWidth="1"/>
    <col min="15877" max="15877" width="7.125" style="368" customWidth="1"/>
    <col min="15878" max="15878" width="21.125" style="368" customWidth="1"/>
    <col min="15879" max="16128" width="9" style="368"/>
    <col min="16129" max="16129" width="34.75" style="368" bestFit="1" customWidth="1"/>
    <col min="16130" max="16130" width="8.125" style="368" bestFit="1" customWidth="1"/>
    <col min="16131" max="16131" width="21.125" style="368" customWidth="1"/>
    <col min="16132" max="16132" width="49.625" style="368" bestFit="1" customWidth="1"/>
    <col min="16133" max="16133" width="7.125" style="368" customWidth="1"/>
    <col min="16134" max="16134" width="21.125" style="368" customWidth="1"/>
    <col min="16135" max="16384" width="9" style="368"/>
  </cols>
  <sheetData>
    <row r="1" spans="1:6" ht="36.75" customHeight="1">
      <c r="A1" s="733" t="s">
        <v>1936</v>
      </c>
      <c r="B1" s="733"/>
      <c r="C1" s="733"/>
      <c r="D1" s="733"/>
      <c r="E1" s="733"/>
      <c r="F1" s="733"/>
    </row>
    <row r="2" spans="1:6" ht="26.25" customHeight="1" thickBot="1">
      <c r="A2" s="343" t="s">
        <v>1526</v>
      </c>
      <c r="B2" s="372"/>
      <c r="C2" s="369"/>
      <c r="D2" s="369"/>
      <c r="E2" s="369"/>
      <c r="F2" s="371" t="s">
        <v>1937</v>
      </c>
    </row>
    <row r="3" spans="1:6" ht="22.15" customHeight="1" thickBot="1">
      <c r="A3" s="463" t="s">
        <v>1528</v>
      </c>
      <c r="B3" s="464" t="s">
        <v>1789</v>
      </c>
      <c r="C3" s="465" t="s">
        <v>1790</v>
      </c>
      <c r="D3" s="463" t="s">
        <v>1528</v>
      </c>
      <c r="E3" s="464" t="s">
        <v>1789</v>
      </c>
      <c r="F3" s="465" t="s">
        <v>1790</v>
      </c>
    </row>
    <row r="4" spans="1:6" ht="21" customHeight="1">
      <c r="A4" s="374" t="s">
        <v>1938</v>
      </c>
      <c r="B4" s="521" t="s">
        <v>1795</v>
      </c>
      <c r="C4" s="312">
        <v>9746880</v>
      </c>
      <c r="D4" s="532" t="s">
        <v>1939</v>
      </c>
      <c r="E4" s="533" t="s">
        <v>1831</v>
      </c>
      <c r="F4" s="216">
        <v>0</v>
      </c>
    </row>
    <row r="5" spans="1:6" ht="21" customHeight="1">
      <c r="A5" s="534" t="s">
        <v>1940</v>
      </c>
      <c r="B5" s="535" t="s">
        <v>1795</v>
      </c>
      <c r="C5" s="313">
        <v>9571145</v>
      </c>
      <c r="D5" s="536" t="s">
        <v>1941</v>
      </c>
      <c r="E5" s="537" t="s">
        <v>1831</v>
      </c>
      <c r="F5" s="538">
        <v>0</v>
      </c>
    </row>
    <row r="6" spans="1:6" ht="21" customHeight="1">
      <c r="A6" s="539" t="s">
        <v>1942</v>
      </c>
      <c r="B6" s="523" t="s">
        <v>1542</v>
      </c>
      <c r="C6" s="245" t="s">
        <v>1542</v>
      </c>
      <c r="D6" s="540" t="s">
        <v>1943</v>
      </c>
      <c r="E6" s="537" t="s">
        <v>1831</v>
      </c>
      <c r="F6" s="314">
        <v>75931</v>
      </c>
    </row>
    <row r="7" spans="1:6" ht="21" customHeight="1">
      <c r="A7" s="380" t="s">
        <v>1944</v>
      </c>
      <c r="B7" s="541" t="s">
        <v>1793</v>
      </c>
      <c r="C7" s="315">
        <v>222763030000</v>
      </c>
      <c r="D7" s="542" t="s">
        <v>1945</v>
      </c>
      <c r="E7" s="523" t="s">
        <v>1542</v>
      </c>
      <c r="F7" s="245" t="s">
        <v>1542</v>
      </c>
    </row>
    <row r="8" spans="1:6" ht="21" customHeight="1">
      <c r="A8" s="380" t="s">
        <v>1946</v>
      </c>
      <c r="B8" s="541" t="s">
        <v>1793</v>
      </c>
      <c r="C8" s="315">
        <v>222763030000</v>
      </c>
      <c r="D8" s="244" t="s">
        <v>1947</v>
      </c>
      <c r="E8" s="541" t="s">
        <v>1793</v>
      </c>
      <c r="F8" s="316"/>
    </row>
    <row r="9" spans="1:6" ht="21" customHeight="1">
      <c r="A9" s="244" t="s">
        <v>1948</v>
      </c>
      <c r="B9" s="523" t="s">
        <v>1542</v>
      </c>
      <c r="C9" s="245" t="s">
        <v>1542</v>
      </c>
      <c r="D9" s="244" t="s">
        <v>1949</v>
      </c>
      <c r="E9" s="321" t="s">
        <v>1801</v>
      </c>
      <c r="F9" s="217"/>
    </row>
    <row r="10" spans="1:6" ht="21" customHeight="1">
      <c r="A10" s="244" t="s">
        <v>1950</v>
      </c>
      <c r="B10" s="321" t="s">
        <v>1801</v>
      </c>
      <c r="C10" s="217"/>
      <c r="D10" s="244" t="s">
        <v>1951</v>
      </c>
      <c r="E10" s="321" t="s">
        <v>1801</v>
      </c>
      <c r="F10" s="245"/>
    </row>
    <row r="11" spans="1:6" ht="21" customHeight="1">
      <c r="A11" s="244" t="s">
        <v>1952</v>
      </c>
      <c r="B11" s="321" t="s">
        <v>1801</v>
      </c>
      <c r="C11" s="217"/>
      <c r="D11" s="244" t="s">
        <v>1953</v>
      </c>
      <c r="E11" s="321" t="s">
        <v>1801</v>
      </c>
      <c r="F11" s="217">
        <v>0</v>
      </c>
    </row>
    <row r="12" spans="1:6" ht="21" customHeight="1">
      <c r="A12" s="244" t="s">
        <v>1954</v>
      </c>
      <c r="B12" s="321" t="s">
        <v>1801</v>
      </c>
      <c r="C12" s="217"/>
      <c r="D12" s="524" t="s">
        <v>1955</v>
      </c>
      <c r="E12" s="321" t="s">
        <v>1801</v>
      </c>
      <c r="F12" s="217">
        <v>0</v>
      </c>
    </row>
    <row r="13" spans="1:6" ht="21" customHeight="1">
      <c r="A13" s="244" t="s">
        <v>1956</v>
      </c>
      <c r="B13" s="321" t="s">
        <v>1801</v>
      </c>
      <c r="C13" s="217">
        <f>C10-C11+C12</f>
        <v>0</v>
      </c>
      <c r="D13" s="244" t="s">
        <v>1957</v>
      </c>
      <c r="E13" s="523" t="s">
        <v>1542</v>
      </c>
      <c r="F13" s="245" t="s">
        <v>1542</v>
      </c>
    </row>
    <row r="14" spans="1:6" ht="21" customHeight="1">
      <c r="A14" s="244" t="s">
        <v>1958</v>
      </c>
      <c r="B14" s="523" t="s">
        <v>1542</v>
      </c>
      <c r="C14" s="245" t="s">
        <v>1542</v>
      </c>
      <c r="D14" s="524" t="s">
        <v>1959</v>
      </c>
      <c r="E14" s="321" t="s">
        <v>1801</v>
      </c>
      <c r="F14" s="217">
        <v>0</v>
      </c>
    </row>
    <row r="15" spans="1:6" ht="21" customHeight="1">
      <c r="A15" s="244" t="s">
        <v>1960</v>
      </c>
      <c r="B15" s="523" t="s">
        <v>1795</v>
      </c>
      <c r="C15" s="317">
        <v>17826</v>
      </c>
      <c r="D15" s="524" t="s">
        <v>1961</v>
      </c>
      <c r="E15" s="321" t="s">
        <v>1801</v>
      </c>
      <c r="F15" s="217">
        <v>0</v>
      </c>
    </row>
    <row r="16" spans="1:6" ht="21" customHeight="1">
      <c r="A16" s="244" t="s">
        <v>1962</v>
      </c>
      <c r="B16" s="523" t="s">
        <v>1795</v>
      </c>
      <c r="C16" s="317">
        <v>74678</v>
      </c>
      <c r="D16" s="524" t="s">
        <v>1963</v>
      </c>
      <c r="E16" s="321" t="s">
        <v>1801</v>
      </c>
      <c r="F16" s="217">
        <v>0</v>
      </c>
    </row>
    <row r="17" spans="1:6" ht="21" customHeight="1">
      <c r="A17" s="244" t="s">
        <v>1964</v>
      </c>
      <c r="B17" s="523" t="s">
        <v>1965</v>
      </c>
      <c r="C17" s="317">
        <v>173784</v>
      </c>
      <c r="D17" s="524" t="s">
        <v>1966</v>
      </c>
      <c r="E17" s="321" t="s">
        <v>1801</v>
      </c>
      <c r="F17" s="217">
        <v>0</v>
      </c>
    </row>
    <row r="18" spans="1:6" ht="21" customHeight="1">
      <c r="A18" s="376" t="s">
        <v>1967</v>
      </c>
      <c r="B18" s="525" t="s">
        <v>1968</v>
      </c>
      <c r="C18" s="318">
        <v>1604.26</v>
      </c>
      <c r="D18" s="524" t="s">
        <v>1969</v>
      </c>
      <c r="E18" s="321" t="s">
        <v>1801</v>
      </c>
      <c r="F18" s="217">
        <f>F14-F15-F16-F17</f>
        <v>0</v>
      </c>
    </row>
    <row r="19" spans="1:6" ht="21" customHeight="1">
      <c r="A19" s="536" t="s">
        <v>1970</v>
      </c>
      <c r="B19" s="535" t="s">
        <v>1542</v>
      </c>
      <c r="C19" s="249" t="s">
        <v>1542</v>
      </c>
      <c r="D19" s="524" t="s">
        <v>1971</v>
      </c>
      <c r="E19" s="321" t="s">
        <v>1801</v>
      </c>
      <c r="F19" s="217">
        <f>SUM(F20:F21)</f>
        <v>6848963.1799999997</v>
      </c>
    </row>
    <row r="20" spans="1:6" ht="21" customHeight="1">
      <c r="A20" s="512" t="s">
        <v>1972</v>
      </c>
      <c r="B20" s="506" t="s">
        <v>1965</v>
      </c>
      <c r="C20" s="304">
        <v>173774</v>
      </c>
      <c r="D20" s="244" t="s">
        <v>1973</v>
      </c>
      <c r="E20" s="321" t="s">
        <v>1801</v>
      </c>
      <c r="F20" s="217">
        <v>6848963.1799999997</v>
      </c>
    </row>
    <row r="21" spans="1:6" ht="21" customHeight="1">
      <c r="A21" s="512" t="s">
        <v>1974</v>
      </c>
      <c r="B21" s="506" t="s">
        <v>1831</v>
      </c>
      <c r="C21" s="304">
        <v>35283</v>
      </c>
      <c r="D21" s="534" t="s">
        <v>1975</v>
      </c>
      <c r="E21" s="537" t="s">
        <v>1801</v>
      </c>
      <c r="F21" s="538">
        <v>0</v>
      </c>
    </row>
    <row r="22" spans="1:6" ht="21" customHeight="1" thickBot="1">
      <c r="A22" s="516" t="s">
        <v>1976</v>
      </c>
      <c r="B22" s="517" t="s">
        <v>1831</v>
      </c>
      <c r="C22" s="543">
        <v>1632</v>
      </c>
      <c r="D22" s="544" t="s">
        <v>1977</v>
      </c>
      <c r="E22" s="517" t="s">
        <v>1801</v>
      </c>
      <c r="F22" s="545">
        <v>0</v>
      </c>
    </row>
  </sheetData>
  <mergeCells count="1">
    <mergeCell ref="A1:F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scale="96" orientation="landscape" errors="blank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A3" sqref="A1:XFD1048576"/>
    </sheetView>
  </sheetViews>
  <sheetFormatPr defaultRowHeight="14.25" customHeight="1"/>
  <cols>
    <col min="1" max="1" width="35.75" style="368" customWidth="1"/>
    <col min="2" max="2" width="11.125" style="368" customWidth="1"/>
    <col min="3" max="4" width="36.5" style="368" customWidth="1"/>
    <col min="5" max="256" width="9" style="368"/>
    <col min="257" max="257" width="35.75" style="368" customWidth="1"/>
    <col min="258" max="258" width="11.125" style="368" customWidth="1"/>
    <col min="259" max="260" width="36.5" style="368" customWidth="1"/>
    <col min="261" max="512" width="9" style="368"/>
    <col min="513" max="513" width="35.75" style="368" customWidth="1"/>
    <col min="514" max="514" width="11.125" style="368" customWidth="1"/>
    <col min="515" max="516" width="36.5" style="368" customWidth="1"/>
    <col min="517" max="768" width="9" style="368"/>
    <col min="769" max="769" width="35.75" style="368" customWidth="1"/>
    <col min="770" max="770" width="11.125" style="368" customWidth="1"/>
    <col min="771" max="772" width="36.5" style="368" customWidth="1"/>
    <col min="773" max="1024" width="9" style="368"/>
    <col min="1025" max="1025" width="35.75" style="368" customWidth="1"/>
    <col min="1026" max="1026" width="11.125" style="368" customWidth="1"/>
    <col min="1027" max="1028" width="36.5" style="368" customWidth="1"/>
    <col min="1029" max="1280" width="9" style="368"/>
    <col min="1281" max="1281" width="35.75" style="368" customWidth="1"/>
    <col min="1282" max="1282" width="11.125" style="368" customWidth="1"/>
    <col min="1283" max="1284" width="36.5" style="368" customWidth="1"/>
    <col min="1285" max="1536" width="9" style="368"/>
    <col min="1537" max="1537" width="35.75" style="368" customWidth="1"/>
    <col min="1538" max="1538" width="11.125" style="368" customWidth="1"/>
    <col min="1539" max="1540" width="36.5" style="368" customWidth="1"/>
    <col min="1541" max="1792" width="9" style="368"/>
    <col min="1793" max="1793" width="35.75" style="368" customWidth="1"/>
    <col min="1794" max="1794" width="11.125" style="368" customWidth="1"/>
    <col min="1795" max="1796" width="36.5" style="368" customWidth="1"/>
    <col min="1797" max="2048" width="9" style="368"/>
    <col min="2049" max="2049" width="35.75" style="368" customWidth="1"/>
    <col min="2050" max="2050" width="11.125" style="368" customWidth="1"/>
    <col min="2051" max="2052" width="36.5" style="368" customWidth="1"/>
    <col min="2053" max="2304" width="9" style="368"/>
    <col min="2305" max="2305" width="35.75" style="368" customWidth="1"/>
    <col min="2306" max="2306" width="11.125" style="368" customWidth="1"/>
    <col min="2307" max="2308" width="36.5" style="368" customWidth="1"/>
    <col min="2309" max="2560" width="9" style="368"/>
    <col min="2561" max="2561" width="35.75" style="368" customWidth="1"/>
    <col min="2562" max="2562" width="11.125" style="368" customWidth="1"/>
    <col min="2563" max="2564" width="36.5" style="368" customWidth="1"/>
    <col min="2565" max="2816" width="9" style="368"/>
    <col min="2817" max="2817" width="35.75" style="368" customWidth="1"/>
    <col min="2818" max="2818" width="11.125" style="368" customWidth="1"/>
    <col min="2819" max="2820" width="36.5" style="368" customWidth="1"/>
    <col min="2821" max="3072" width="9" style="368"/>
    <col min="3073" max="3073" width="35.75" style="368" customWidth="1"/>
    <col min="3074" max="3074" width="11.125" style="368" customWidth="1"/>
    <col min="3075" max="3076" width="36.5" style="368" customWidth="1"/>
    <col min="3077" max="3328" width="9" style="368"/>
    <col min="3329" max="3329" width="35.75" style="368" customWidth="1"/>
    <col min="3330" max="3330" width="11.125" style="368" customWidth="1"/>
    <col min="3331" max="3332" width="36.5" style="368" customWidth="1"/>
    <col min="3333" max="3584" width="9" style="368"/>
    <col min="3585" max="3585" width="35.75" style="368" customWidth="1"/>
    <col min="3586" max="3586" width="11.125" style="368" customWidth="1"/>
    <col min="3587" max="3588" width="36.5" style="368" customWidth="1"/>
    <col min="3589" max="3840" width="9" style="368"/>
    <col min="3841" max="3841" width="35.75" style="368" customWidth="1"/>
    <col min="3842" max="3842" width="11.125" style="368" customWidth="1"/>
    <col min="3843" max="3844" width="36.5" style="368" customWidth="1"/>
    <col min="3845" max="4096" width="9" style="368"/>
    <col min="4097" max="4097" width="35.75" style="368" customWidth="1"/>
    <col min="4098" max="4098" width="11.125" style="368" customWidth="1"/>
    <col min="4099" max="4100" width="36.5" style="368" customWidth="1"/>
    <col min="4101" max="4352" width="9" style="368"/>
    <col min="4353" max="4353" width="35.75" style="368" customWidth="1"/>
    <col min="4354" max="4354" width="11.125" style="368" customWidth="1"/>
    <col min="4355" max="4356" width="36.5" style="368" customWidth="1"/>
    <col min="4357" max="4608" width="9" style="368"/>
    <col min="4609" max="4609" width="35.75" style="368" customWidth="1"/>
    <col min="4610" max="4610" width="11.125" style="368" customWidth="1"/>
    <col min="4611" max="4612" width="36.5" style="368" customWidth="1"/>
    <col min="4613" max="4864" width="9" style="368"/>
    <col min="4865" max="4865" width="35.75" style="368" customWidth="1"/>
    <col min="4866" max="4866" width="11.125" style="368" customWidth="1"/>
    <col min="4867" max="4868" width="36.5" style="368" customWidth="1"/>
    <col min="4869" max="5120" width="9" style="368"/>
    <col min="5121" max="5121" width="35.75" style="368" customWidth="1"/>
    <col min="5122" max="5122" width="11.125" style="368" customWidth="1"/>
    <col min="5123" max="5124" width="36.5" style="368" customWidth="1"/>
    <col min="5125" max="5376" width="9" style="368"/>
    <col min="5377" max="5377" width="35.75" style="368" customWidth="1"/>
    <col min="5378" max="5378" width="11.125" style="368" customWidth="1"/>
    <col min="5379" max="5380" width="36.5" style="368" customWidth="1"/>
    <col min="5381" max="5632" width="9" style="368"/>
    <col min="5633" max="5633" width="35.75" style="368" customWidth="1"/>
    <col min="5634" max="5634" width="11.125" style="368" customWidth="1"/>
    <col min="5635" max="5636" width="36.5" style="368" customWidth="1"/>
    <col min="5637" max="5888" width="9" style="368"/>
    <col min="5889" max="5889" width="35.75" style="368" customWidth="1"/>
    <col min="5890" max="5890" width="11.125" style="368" customWidth="1"/>
    <col min="5891" max="5892" width="36.5" style="368" customWidth="1"/>
    <col min="5893" max="6144" width="9" style="368"/>
    <col min="6145" max="6145" width="35.75" style="368" customWidth="1"/>
    <col min="6146" max="6146" width="11.125" style="368" customWidth="1"/>
    <col min="6147" max="6148" width="36.5" style="368" customWidth="1"/>
    <col min="6149" max="6400" width="9" style="368"/>
    <col min="6401" max="6401" width="35.75" style="368" customWidth="1"/>
    <col min="6402" max="6402" width="11.125" style="368" customWidth="1"/>
    <col min="6403" max="6404" width="36.5" style="368" customWidth="1"/>
    <col min="6405" max="6656" width="9" style="368"/>
    <col min="6657" max="6657" width="35.75" style="368" customWidth="1"/>
    <col min="6658" max="6658" width="11.125" style="368" customWidth="1"/>
    <col min="6659" max="6660" width="36.5" style="368" customWidth="1"/>
    <col min="6661" max="6912" width="9" style="368"/>
    <col min="6913" max="6913" width="35.75" style="368" customWidth="1"/>
    <col min="6914" max="6914" width="11.125" style="368" customWidth="1"/>
    <col min="6915" max="6916" width="36.5" style="368" customWidth="1"/>
    <col min="6917" max="7168" width="9" style="368"/>
    <col min="7169" max="7169" width="35.75" style="368" customWidth="1"/>
    <col min="7170" max="7170" width="11.125" style="368" customWidth="1"/>
    <col min="7171" max="7172" width="36.5" style="368" customWidth="1"/>
    <col min="7173" max="7424" width="9" style="368"/>
    <col min="7425" max="7425" width="35.75" style="368" customWidth="1"/>
    <col min="7426" max="7426" width="11.125" style="368" customWidth="1"/>
    <col min="7427" max="7428" width="36.5" style="368" customWidth="1"/>
    <col min="7429" max="7680" width="9" style="368"/>
    <col min="7681" max="7681" width="35.75" style="368" customWidth="1"/>
    <col min="7682" max="7682" width="11.125" style="368" customWidth="1"/>
    <col min="7683" max="7684" width="36.5" style="368" customWidth="1"/>
    <col min="7685" max="7936" width="9" style="368"/>
    <col min="7937" max="7937" width="35.75" style="368" customWidth="1"/>
    <col min="7938" max="7938" width="11.125" style="368" customWidth="1"/>
    <col min="7939" max="7940" width="36.5" style="368" customWidth="1"/>
    <col min="7941" max="8192" width="9" style="368"/>
    <col min="8193" max="8193" width="35.75" style="368" customWidth="1"/>
    <col min="8194" max="8194" width="11.125" style="368" customWidth="1"/>
    <col min="8195" max="8196" width="36.5" style="368" customWidth="1"/>
    <col min="8197" max="8448" width="9" style="368"/>
    <col min="8449" max="8449" width="35.75" style="368" customWidth="1"/>
    <col min="8450" max="8450" width="11.125" style="368" customWidth="1"/>
    <col min="8451" max="8452" width="36.5" style="368" customWidth="1"/>
    <col min="8453" max="8704" width="9" style="368"/>
    <col min="8705" max="8705" width="35.75" style="368" customWidth="1"/>
    <col min="8706" max="8706" width="11.125" style="368" customWidth="1"/>
    <col min="8707" max="8708" width="36.5" style="368" customWidth="1"/>
    <col min="8709" max="8960" width="9" style="368"/>
    <col min="8961" max="8961" width="35.75" style="368" customWidth="1"/>
    <col min="8962" max="8962" width="11.125" style="368" customWidth="1"/>
    <col min="8963" max="8964" width="36.5" style="368" customWidth="1"/>
    <col min="8965" max="9216" width="9" style="368"/>
    <col min="9217" max="9217" width="35.75" style="368" customWidth="1"/>
    <col min="9218" max="9218" width="11.125" style="368" customWidth="1"/>
    <col min="9219" max="9220" width="36.5" style="368" customWidth="1"/>
    <col min="9221" max="9472" width="9" style="368"/>
    <col min="9473" max="9473" width="35.75" style="368" customWidth="1"/>
    <col min="9474" max="9474" width="11.125" style="368" customWidth="1"/>
    <col min="9475" max="9476" width="36.5" style="368" customWidth="1"/>
    <col min="9477" max="9728" width="9" style="368"/>
    <col min="9729" max="9729" width="35.75" style="368" customWidth="1"/>
    <col min="9730" max="9730" width="11.125" style="368" customWidth="1"/>
    <col min="9731" max="9732" width="36.5" style="368" customWidth="1"/>
    <col min="9733" max="9984" width="9" style="368"/>
    <col min="9985" max="9985" width="35.75" style="368" customWidth="1"/>
    <col min="9986" max="9986" width="11.125" style="368" customWidth="1"/>
    <col min="9987" max="9988" width="36.5" style="368" customWidth="1"/>
    <col min="9989" max="10240" width="9" style="368"/>
    <col min="10241" max="10241" width="35.75" style="368" customWidth="1"/>
    <col min="10242" max="10242" width="11.125" style="368" customWidth="1"/>
    <col min="10243" max="10244" width="36.5" style="368" customWidth="1"/>
    <col min="10245" max="10496" width="9" style="368"/>
    <col min="10497" max="10497" width="35.75" style="368" customWidth="1"/>
    <col min="10498" max="10498" width="11.125" style="368" customWidth="1"/>
    <col min="10499" max="10500" width="36.5" style="368" customWidth="1"/>
    <col min="10501" max="10752" width="9" style="368"/>
    <col min="10753" max="10753" width="35.75" style="368" customWidth="1"/>
    <col min="10754" max="10754" width="11.125" style="368" customWidth="1"/>
    <col min="10755" max="10756" width="36.5" style="368" customWidth="1"/>
    <col min="10757" max="11008" width="9" style="368"/>
    <col min="11009" max="11009" width="35.75" style="368" customWidth="1"/>
    <col min="11010" max="11010" width="11.125" style="368" customWidth="1"/>
    <col min="11011" max="11012" width="36.5" style="368" customWidth="1"/>
    <col min="11013" max="11264" width="9" style="368"/>
    <col min="11265" max="11265" width="35.75" style="368" customWidth="1"/>
    <col min="11266" max="11266" width="11.125" style="368" customWidth="1"/>
    <col min="11267" max="11268" width="36.5" style="368" customWidth="1"/>
    <col min="11269" max="11520" width="9" style="368"/>
    <col min="11521" max="11521" width="35.75" style="368" customWidth="1"/>
    <col min="11522" max="11522" width="11.125" style="368" customWidth="1"/>
    <col min="11523" max="11524" width="36.5" style="368" customWidth="1"/>
    <col min="11525" max="11776" width="9" style="368"/>
    <col min="11777" max="11777" width="35.75" style="368" customWidth="1"/>
    <col min="11778" max="11778" width="11.125" style="368" customWidth="1"/>
    <col min="11779" max="11780" width="36.5" style="368" customWidth="1"/>
    <col min="11781" max="12032" width="9" style="368"/>
    <col min="12033" max="12033" width="35.75" style="368" customWidth="1"/>
    <col min="12034" max="12034" width="11.125" style="368" customWidth="1"/>
    <col min="12035" max="12036" width="36.5" style="368" customWidth="1"/>
    <col min="12037" max="12288" width="9" style="368"/>
    <col min="12289" max="12289" width="35.75" style="368" customWidth="1"/>
    <col min="12290" max="12290" width="11.125" style="368" customWidth="1"/>
    <col min="12291" max="12292" width="36.5" style="368" customWidth="1"/>
    <col min="12293" max="12544" width="9" style="368"/>
    <col min="12545" max="12545" width="35.75" style="368" customWidth="1"/>
    <col min="12546" max="12546" width="11.125" style="368" customWidth="1"/>
    <col min="12547" max="12548" width="36.5" style="368" customWidth="1"/>
    <col min="12549" max="12800" width="9" style="368"/>
    <col min="12801" max="12801" width="35.75" style="368" customWidth="1"/>
    <col min="12802" max="12802" width="11.125" style="368" customWidth="1"/>
    <col min="12803" max="12804" width="36.5" style="368" customWidth="1"/>
    <col min="12805" max="13056" width="9" style="368"/>
    <col min="13057" max="13057" width="35.75" style="368" customWidth="1"/>
    <col min="13058" max="13058" width="11.125" style="368" customWidth="1"/>
    <col min="13059" max="13060" width="36.5" style="368" customWidth="1"/>
    <col min="13061" max="13312" width="9" style="368"/>
    <col min="13313" max="13313" width="35.75" style="368" customWidth="1"/>
    <col min="13314" max="13314" width="11.125" style="368" customWidth="1"/>
    <col min="13315" max="13316" width="36.5" style="368" customWidth="1"/>
    <col min="13317" max="13568" width="9" style="368"/>
    <col min="13569" max="13569" width="35.75" style="368" customWidth="1"/>
    <col min="13570" max="13570" width="11.125" style="368" customWidth="1"/>
    <col min="13571" max="13572" width="36.5" style="368" customWidth="1"/>
    <col min="13573" max="13824" width="9" style="368"/>
    <col min="13825" max="13825" width="35.75" style="368" customWidth="1"/>
    <col min="13826" max="13826" width="11.125" style="368" customWidth="1"/>
    <col min="13827" max="13828" width="36.5" style="368" customWidth="1"/>
    <col min="13829" max="14080" width="9" style="368"/>
    <col min="14081" max="14081" width="35.75" style="368" customWidth="1"/>
    <col min="14082" max="14082" width="11.125" style="368" customWidth="1"/>
    <col min="14083" max="14084" width="36.5" style="368" customWidth="1"/>
    <col min="14085" max="14336" width="9" style="368"/>
    <col min="14337" max="14337" width="35.75" style="368" customWidth="1"/>
    <col min="14338" max="14338" width="11.125" style="368" customWidth="1"/>
    <col min="14339" max="14340" width="36.5" style="368" customWidth="1"/>
    <col min="14341" max="14592" width="9" style="368"/>
    <col min="14593" max="14593" width="35.75" style="368" customWidth="1"/>
    <col min="14594" max="14594" width="11.125" style="368" customWidth="1"/>
    <col min="14595" max="14596" width="36.5" style="368" customWidth="1"/>
    <col min="14597" max="14848" width="9" style="368"/>
    <col min="14849" max="14849" width="35.75" style="368" customWidth="1"/>
    <col min="14850" max="14850" width="11.125" style="368" customWidth="1"/>
    <col min="14851" max="14852" width="36.5" style="368" customWidth="1"/>
    <col min="14853" max="15104" width="9" style="368"/>
    <col min="15105" max="15105" width="35.75" style="368" customWidth="1"/>
    <col min="15106" max="15106" width="11.125" style="368" customWidth="1"/>
    <col min="15107" max="15108" width="36.5" style="368" customWidth="1"/>
    <col min="15109" max="15360" width="9" style="368"/>
    <col min="15361" max="15361" width="35.75" style="368" customWidth="1"/>
    <col min="15362" max="15362" width="11.125" style="368" customWidth="1"/>
    <col min="15363" max="15364" width="36.5" style="368" customWidth="1"/>
    <col min="15365" max="15616" width="9" style="368"/>
    <col min="15617" max="15617" width="35.75" style="368" customWidth="1"/>
    <col min="15618" max="15618" width="11.125" style="368" customWidth="1"/>
    <col min="15619" max="15620" width="36.5" style="368" customWidth="1"/>
    <col min="15621" max="15872" width="9" style="368"/>
    <col min="15873" max="15873" width="35.75" style="368" customWidth="1"/>
    <col min="15874" max="15874" width="11.125" style="368" customWidth="1"/>
    <col min="15875" max="15876" width="36.5" style="368" customWidth="1"/>
    <col min="15877" max="16128" width="9" style="368"/>
    <col min="16129" max="16129" width="35.75" style="368" customWidth="1"/>
    <col min="16130" max="16130" width="11.125" style="368" customWidth="1"/>
    <col min="16131" max="16132" width="36.5" style="368" customWidth="1"/>
    <col min="16133" max="16384" width="9" style="368"/>
  </cols>
  <sheetData>
    <row r="1" spans="1:4" ht="36.75" customHeight="1">
      <c r="A1" s="722" t="s">
        <v>1978</v>
      </c>
      <c r="B1" s="722"/>
      <c r="C1" s="722"/>
      <c r="D1" s="722"/>
    </row>
    <row r="2" spans="1:4" ht="26.25" customHeight="1" thickBot="1">
      <c r="A2" s="343" t="s">
        <v>1526</v>
      </c>
      <c r="B2" s="372"/>
      <c r="C2" s="369"/>
      <c r="D2" s="371" t="s">
        <v>1979</v>
      </c>
    </row>
    <row r="3" spans="1:4" ht="38.25" customHeight="1" thickBot="1">
      <c r="A3" s="400" t="s">
        <v>1528</v>
      </c>
      <c r="B3" s="396" t="s">
        <v>1789</v>
      </c>
      <c r="C3" s="462" t="s">
        <v>1980</v>
      </c>
      <c r="D3" s="396" t="s">
        <v>1981</v>
      </c>
    </row>
    <row r="4" spans="1:4" ht="28.5" customHeight="1">
      <c r="A4" s="380" t="s">
        <v>1982</v>
      </c>
      <c r="B4" s="546" t="s">
        <v>1542</v>
      </c>
      <c r="C4" s="547" t="s">
        <v>1542</v>
      </c>
      <c r="D4" s="548" t="s">
        <v>1542</v>
      </c>
    </row>
    <row r="5" spans="1:4" ht="28.5" customHeight="1">
      <c r="A5" s="244" t="s">
        <v>1983</v>
      </c>
      <c r="B5" s="526" t="s">
        <v>1801</v>
      </c>
      <c r="C5" s="220"/>
      <c r="D5" s="221"/>
    </row>
    <row r="6" spans="1:4" ht="28.5" customHeight="1">
      <c r="A6" s="244" t="s">
        <v>1984</v>
      </c>
      <c r="B6" s="526" t="s">
        <v>1801</v>
      </c>
      <c r="C6" s="220"/>
      <c r="D6" s="221"/>
    </row>
    <row r="7" spans="1:4" ht="28.5" customHeight="1">
      <c r="A7" s="244" t="s">
        <v>1985</v>
      </c>
      <c r="B7" s="526" t="s">
        <v>1801</v>
      </c>
      <c r="C7" s="220"/>
      <c r="D7" s="221"/>
    </row>
    <row r="8" spans="1:4" ht="28.5" customHeight="1">
      <c r="A8" s="244" t="s">
        <v>1986</v>
      </c>
      <c r="B8" s="526" t="s">
        <v>1801</v>
      </c>
      <c r="C8" s="220"/>
      <c r="D8" s="221"/>
    </row>
    <row r="9" spans="1:4" ht="28.5" customHeight="1">
      <c r="A9" s="244" t="s">
        <v>1987</v>
      </c>
      <c r="B9" s="526" t="s">
        <v>1801</v>
      </c>
      <c r="C9" s="220"/>
      <c r="D9" s="221"/>
    </row>
    <row r="10" spans="1:4" ht="28.5" customHeight="1">
      <c r="A10" s="244" t="s">
        <v>1988</v>
      </c>
      <c r="B10" s="526" t="s">
        <v>1801</v>
      </c>
      <c r="C10" s="220">
        <f>C6-C8</f>
        <v>0</v>
      </c>
      <c r="D10" s="221">
        <f>D6-D8</f>
        <v>0</v>
      </c>
    </row>
    <row r="11" spans="1:4" ht="28.5" customHeight="1">
      <c r="A11" s="244" t="s">
        <v>1989</v>
      </c>
      <c r="B11" s="526" t="s">
        <v>1801</v>
      </c>
      <c r="C11" s="220">
        <f>C5+C10</f>
        <v>0</v>
      </c>
      <c r="D11" s="221">
        <f>D5+D10</f>
        <v>0</v>
      </c>
    </row>
    <row r="12" spans="1:4" ht="28.5" customHeight="1">
      <c r="A12" s="244" t="s">
        <v>1990</v>
      </c>
      <c r="B12" s="245" t="s">
        <v>1795</v>
      </c>
      <c r="C12" s="319"/>
      <c r="D12" s="307"/>
    </row>
    <row r="13" spans="1:4" ht="28.5" customHeight="1" thickBot="1">
      <c r="A13" s="247" t="s">
        <v>1991</v>
      </c>
      <c r="B13" s="531" t="s">
        <v>1795</v>
      </c>
      <c r="C13" s="320"/>
      <c r="D13" s="311"/>
    </row>
  </sheetData>
  <mergeCells count="1">
    <mergeCell ref="A1:D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orientation="landscape" errors="blank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opLeftCell="A7" workbookViewId="0">
      <selection activeCell="A3" sqref="A1:XFD1048576"/>
    </sheetView>
  </sheetViews>
  <sheetFormatPr defaultRowHeight="14.25" customHeight="1"/>
  <cols>
    <col min="1" max="1" width="34.5" style="368" customWidth="1"/>
    <col min="2" max="2" width="7" style="368" customWidth="1"/>
    <col min="3" max="3" width="20.75" style="368" customWidth="1"/>
    <col min="4" max="4" width="34.5" style="368" customWidth="1"/>
    <col min="5" max="5" width="7" style="368" customWidth="1"/>
    <col min="6" max="6" width="20.75" style="368" customWidth="1"/>
    <col min="7" max="256" width="9" style="368"/>
    <col min="257" max="257" width="34.5" style="368" customWidth="1"/>
    <col min="258" max="258" width="7" style="368" customWidth="1"/>
    <col min="259" max="259" width="20.75" style="368" customWidth="1"/>
    <col min="260" max="260" width="34.5" style="368" customWidth="1"/>
    <col min="261" max="261" width="7" style="368" customWidth="1"/>
    <col min="262" max="262" width="20.75" style="368" customWidth="1"/>
    <col min="263" max="512" width="9" style="368"/>
    <col min="513" max="513" width="34.5" style="368" customWidth="1"/>
    <col min="514" max="514" width="7" style="368" customWidth="1"/>
    <col min="515" max="515" width="20.75" style="368" customWidth="1"/>
    <col min="516" max="516" width="34.5" style="368" customWidth="1"/>
    <col min="517" max="517" width="7" style="368" customWidth="1"/>
    <col min="518" max="518" width="20.75" style="368" customWidth="1"/>
    <col min="519" max="768" width="9" style="368"/>
    <col min="769" max="769" width="34.5" style="368" customWidth="1"/>
    <col min="770" max="770" width="7" style="368" customWidth="1"/>
    <col min="771" max="771" width="20.75" style="368" customWidth="1"/>
    <col min="772" max="772" width="34.5" style="368" customWidth="1"/>
    <col min="773" max="773" width="7" style="368" customWidth="1"/>
    <col min="774" max="774" width="20.75" style="368" customWidth="1"/>
    <col min="775" max="1024" width="9" style="368"/>
    <col min="1025" max="1025" width="34.5" style="368" customWidth="1"/>
    <col min="1026" max="1026" width="7" style="368" customWidth="1"/>
    <col min="1027" max="1027" width="20.75" style="368" customWidth="1"/>
    <col min="1028" max="1028" width="34.5" style="368" customWidth="1"/>
    <col min="1029" max="1029" width="7" style="368" customWidth="1"/>
    <col min="1030" max="1030" width="20.75" style="368" customWidth="1"/>
    <col min="1031" max="1280" width="9" style="368"/>
    <col min="1281" max="1281" width="34.5" style="368" customWidth="1"/>
    <col min="1282" max="1282" width="7" style="368" customWidth="1"/>
    <col min="1283" max="1283" width="20.75" style="368" customWidth="1"/>
    <col min="1284" max="1284" width="34.5" style="368" customWidth="1"/>
    <col min="1285" max="1285" width="7" style="368" customWidth="1"/>
    <col min="1286" max="1286" width="20.75" style="368" customWidth="1"/>
    <col min="1287" max="1536" width="9" style="368"/>
    <col min="1537" max="1537" width="34.5" style="368" customWidth="1"/>
    <col min="1538" max="1538" width="7" style="368" customWidth="1"/>
    <col min="1539" max="1539" width="20.75" style="368" customWidth="1"/>
    <col min="1540" max="1540" width="34.5" style="368" customWidth="1"/>
    <col min="1541" max="1541" width="7" style="368" customWidth="1"/>
    <col min="1542" max="1542" width="20.75" style="368" customWidth="1"/>
    <col min="1543" max="1792" width="9" style="368"/>
    <col min="1793" max="1793" width="34.5" style="368" customWidth="1"/>
    <col min="1794" max="1794" width="7" style="368" customWidth="1"/>
    <col min="1795" max="1795" width="20.75" style="368" customWidth="1"/>
    <col min="1796" max="1796" width="34.5" style="368" customWidth="1"/>
    <col min="1797" max="1797" width="7" style="368" customWidth="1"/>
    <col min="1798" max="1798" width="20.75" style="368" customWidth="1"/>
    <col min="1799" max="2048" width="9" style="368"/>
    <col min="2049" max="2049" width="34.5" style="368" customWidth="1"/>
    <col min="2050" max="2050" width="7" style="368" customWidth="1"/>
    <col min="2051" max="2051" width="20.75" style="368" customWidth="1"/>
    <col min="2052" max="2052" width="34.5" style="368" customWidth="1"/>
    <col min="2053" max="2053" width="7" style="368" customWidth="1"/>
    <col min="2054" max="2054" width="20.75" style="368" customWidth="1"/>
    <col min="2055" max="2304" width="9" style="368"/>
    <col min="2305" max="2305" width="34.5" style="368" customWidth="1"/>
    <col min="2306" max="2306" width="7" style="368" customWidth="1"/>
    <col min="2307" max="2307" width="20.75" style="368" customWidth="1"/>
    <col min="2308" max="2308" width="34.5" style="368" customWidth="1"/>
    <col min="2309" max="2309" width="7" style="368" customWidth="1"/>
    <col min="2310" max="2310" width="20.75" style="368" customWidth="1"/>
    <col min="2311" max="2560" width="9" style="368"/>
    <col min="2561" max="2561" width="34.5" style="368" customWidth="1"/>
    <col min="2562" max="2562" width="7" style="368" customWidth="1"/>
    <col min="2563" max="2563" width="20.75" style="368" customWidth="1"/>
    <col min="2564" max="2564" width="34.5" style="368" customWidth="1"/>
    <col min="2565" max="2565" width="7" style="368" customWidth="1"/>
    <col min="2566" max="2566" width="20.75" style="368" customWidth="1"/>
    <col min="2567" max="2816" width="9" style="368"/>
    <col min="2817" max="2817" width="34.5" style="368" customWidth="1"/>
    <col min="2818" max="2818" width="7" style="368" customWidth="1"/>
    <col min="2819" max="2819" width="20.75" style="368" customWidth="1"/>
    <col min="2820" max="2820" width="34.5" style="368" customWidth="1"/>
    <col min="2821" max="2821" width="7" style="368" customWidth="1"/>
    <col min="2822" max="2822" width="20.75" style="368" customWidth="1"/>
    <col min="2823" max="3072" width="9" style="368"/>
    <col min="3073" max="3073" width="34.5" style="368" customWidth="1"/>
    <col min="3074" max="3074" width="7" style="368" customWidth="1"/>
    <col min="3075" max="3075" width="20.75" style="368" customWidth="1"/>
    <col min="3076" max="3076" width="34.5" style="368" customWidth="1"/>
    <col min="3077" max="3077" width="7" style="368" customWidth="1"/>
    <col min="3078" max="3078" width="20.75" style="368" customWidth="1"/>
    <col min="3079" max="3328" width="9" style="368"/>
    <col min="3329" max="3329" width="34.5" style="368" customWidth="1"/>
    <col min="3330" max="3330" width="7" style="368" customWidth="1"/>
    <col min="3331" max="3331" width="20.75" style="368" customWidth="1"/>
    <col min="3332" max="3332" width="34.5" style="368" customWidth="1"/>
    <col min="3333" max="3333" width="7" style="368" customWidth="1"/>
    <col min="3334" max="3334" width="20.75" style="368" customWidth="1"/>
    <col min="3335" max="3584" width="9" style="368"/>
    <col min="3585" max="3585" width="34.5" style="368" customWidth="1"/>
    <col min="3586" max="3586" width="7" style="368" customWidth="1"/>
    <col min="3587" max="3587" width="20.75" style="368" customWidth="1"/>
    <col min="3588" max="3588" width="34.5" style="368" customWidth="1"/>
    <col min="3589" max="3589" width="7" style="368" customWidth="1"/>
    <col min="3590" max="3590" width="20.75" style="368" customWidth="1"/>
    <col min="3591" max="3840" width="9" style="368"/>
    <col min="3841" max="3841" width="34.5" style="368" customWidth="1"/>
    <col min="3842" max="3842" width="7" style="368" customWidth="1"/>
    <col min="3843" max="3843" width="20.75" style="368" customWidth="1"/>
    <col min="3844" max="3844" width="34.5" style="368" customWidth="1"/>
    <col min="3845" max="3845" width="7" style="368" customWidth="1"/>
    <col min="3846" max="3846" width="20.75" style="368" customWidth="1"/>
    <col min="3847" max="4096" width="9" style="368"/>
    <col min="4097" max="4097" width="34.5" style="368" customWidth="1"/>
    <col min="4098" max="4098" width="7" style="368" customWidth="1"/>
    <col min="4099" max="4099" width="20.75" style="368" customWidth="1"/>
    <col min="4100" max="4100" width="34.5" style="368" customWidth="1"/>
    <col min="4101" max="4101" width="7" style="368" customWidth="1"/>
    <col min="4102" max="4102" width="20.75" style="368" customWidth="1"/>
    <col min="4103" max="4352" width="9" style="368"/>
    <col min="4353" max="4353" width="34.5" style="368" customWidth="1"/>
    <col min="4354" max="4354" width="7" style="368" customWidth="1"/>
    <col min="4355" max="4355" width="20.75" style="368" customWidth="1"/>
    <col min="4356" max="4356" width="34.5" style="368" customWidth="1"/>
    <col min="4357" max="4357" width="7" style="368" customWidth="1"/>
    <col min="4358" max="4358" width="20.75" style="368" customWidth="1"/>
    <col min="4359" max="4608" width="9" style="368"/>
    <col min="4609" max="4609" width="34.5" style="368" customWidth="1"/>
    <col min="4610" max="4610" width="7" style="368" customWidth="1"/>
    <col min="4611" max="4611" width="20.75" style="368" customWidth="1"/>
    <col min="4612" max="4612" width="34.5" style="368" customWidth="1"/>
    <col min="4613" max="4613" width="7" style="368" customWidth="1"/>
    <col min="4614" max="4614" width="20.75" style="368" customWidth="1"/>
    <col min="4615" max="4864" width="9" style="368"/>
    <col min="4865" max="4865" width="34.5" style="368" customWidth="1"/>
    <col min="4866" max="4866" width="7" style="368" customWidth="1"/>
    <col min="4867" max="4867" width="20.75" style="368" customWidth="1"/>
    <col min="4868" max="4868" width="34.5" style="368" customWidth="1"/>
    <col min="4869" max="4869" width="7" style="368" customWidth="1"/>
    <col min="4870" max="4870" width="20.75" style="368" customWidth="1"/>
    <col min="4871" max="5120" width="9" style="368"/>
    <col min="5121" max="5121" width="34.5" style="368" customWidth="1"/>
    <col min="5122" max="5122" width="7" style="368" customWidth="1"/>
    <col min="5123" max="5123" width="20.75" style="368" customWidth="1"/>
    <col min="5124" max="5124" width="34.5" style="368" customWidth="1"/>
    <col min="5125" max="5125" width="7" style="368" customWidth="1"/>
    <col min="5126" max="5126" width="20.75" style="368" customWidth="1"/>
    <col min="5127" max="5376" width="9" style="368"/>
    <col min="5377" max="5377" width="34.5" style="368" customWidth="1"/>
    <col min="5378" max="5378" width="7" style="368" customWidth="1"/>
    <col min="5379" max="5379" width="20.75" style="368" customWidth="1"/>
    <col min="5380" max="5380" width="34.5" style="368" customWidth="1"/>
    <col min="5381" max="5381" width="7" style="368" customWidth="1"/>
    <col min="5382" max="5382" width="20.75" style="368" customWidth="1"/>
    <col min="5383" max="5632" width="9" style="368"/>
    <col min="5633" max="5633" width="34.5" style="368" customWidth="1"/>
    <col min="5634" max="5634" width="7" style="368" customWidth="1"/>
    <col min="5635" max="5635" width="20.75" style="368" customWidth="1"/>
    <col min="5636" max="5636" width="34.5" style="368" customWidth="1"/>
    <col min="5637" max="5637" width="7" style="368" customWidth="1"/>
    <col min="5638" max="5638" width="20.75" style="368" customWidth="1"/>
    <col min="5639" max="5888" width="9" style="368"/>
    <col min="5889" max="5889" width="34.5" style="368" customWidth="1"/>
    <col min="5890" max="5890" width="7" style="368" customWidth="1"/>
    <col min="5891" max="5891" width="20.75" style="368" customWidth="1"/>
    <col min="5892" max="5892" width="34.5" style="368" customWidth="1"/>
    <col min="5893" max="5893" width="7" style="368" customWidth="1"/>
    <col min="5894" max="5894" width="20.75" style="368" customWidth="1"/>
    <col min="5895" max="6144" width="9" style="368"/>
    <col min="6145" max="6145" width="34.5" style="368" customWidth="1"/>
    <col min="6146" max="6146" width="7" style="368" customWidth="1"/>
    <col min="6147" max="6147" width="20.75" style="368" customWidth="1"/>
    <col min="6148" max="6148" width="34.5" style="368" customWidth="1"/>
    <col min="6149" max="6149" width="7" style="368" customWidth="1"/>
    <col min="6150" max="6150" width="20.75" style="368" customWidth="1"/>
    <col min="6151" max="6400" width="9" style="368"/>
    <col min="6401" max="6401" width="34.5" style="368" customWidth="1"/>
    <col min="6402" max="6402" width="7" style="368" customWidth="1"/>
    <col min="6403" max="6403" width="20.75" style="368" customWidth="1"/>
    <col min="6404" max="6404" width="34.5" style="368" customWidth="1"/>
    <col min="6405" max="6405" width="7" style="368" customWidth="1"/>
    <col min="6406" max="6406" width="20.75" style="368" customWidth="1"/>
    <col min="6407" max="6656" width="9" style="368"/>
    <col min="6657" max="6657" width="34.5" style="368" customWidth="1"/>
    <col min="6658" max="6658" width="7" style="368" customWidth="1"/>
    <col min="6659" max="6659" width="20.75" style="368" customWidth="1"/>
    <col min="6660" max="6660" width="34.5" style="368" customWidth="1"/>
    <col min="6661" max="6661" width="7" style="368" customWidth="1"/>
    <col min="6662" max="6662" width="20.75" style="368" customWidth="1"/>
    <col min="6663" max="6912" width="9" style="368"/>
    <col min="6913" max="6913" width="34.5" style="368" customWidth="1"/>
    <col min="6914" max="6914" width="7" style="368" customWidth="1"/>
    <col min="6915" max="6915" width="20.75" style="368" customWidth="1"/>
    <col min="6916" max="6916" width="34.5" style="368" customWidth="1"/>
    <col min="6917" max="6917" width="7" style="368" customWidth="1"/>
    <col min="6918" max="6918" width="20.75" style="368" customWidth="1"/>
    <col min="6919" max="7168" width="9" style="368"/>
    <col min="7169" max="7169" width="34.5" style="368" customWidth="1"/>
    <col min="7170" max="7170" width="7" style="368" customWidth="1"/>
    <col min="7171" max="7171" width="20.75" style="368" customWidth="1"/>
    <col min="7172" max="7172" width="34.5" style="368" customWidth="1"/>
    <col min="7173" max="7173" width="7" style="368" customWidth="1"/>
    <col min="7174" max="7174" width="20.75" style="368" customWidth="1"/>
    <col min="7175" max="7424" width="9" style="368"/>
    <col min="7425" max="7425" width="34.5" style="368" customWidth="1"/>
    <col min="7426" max="7426" width="7" style="368" customWidth="1"/>
    <col min="7427" max="7427" width="20.75" style="368" customWidth="1"/>
    <col min="7428" max="7428" width="34.5" style="368" customWidth="1"/>
    <col min="7429" max="7429" width="7" style="368" customWidth="1"/>
    <col min="7430" max="7430" width="20.75" style="368" customWidth="1"/>
    <col min="7431" max="7680" width="9" style="368"/>
    <col min="7681" max="7681" width="34.5" style="368" customWidth="1"/>
    <col min="7682" max="7682" width="7" style="368" customWidth="1"/>
    <col min="7683" max="7683" width="20.75" style="368" customWidth="1"/>
    <col min="7684" max="7684" width="34.5" style="368" customWidth="1"/>
    <col min="7685" max="7685" width="7" style="368" customWidth="1"/>
    <col min="7686" max="7686" width="20.75" style="368" customWidth="1"/>
    <col min="7687" max="7936" width="9" style="368"/>
    <col min="7937" max="7937" width="34.5" style="368" customWidth="1"/>
    <col min="7938" max="7938" width="7" style="368" customWidth="1"/>
    <col min="7939" max="7939" width="20.75" style="368" customWidth="1"/>
    <col min="7940" max="7940" width="34.5" style="368" customWidth="1"/>
    <col min="7941" max="7941" width="7" style="368" customWidth="1"/>
    <col min="7942" max="7942" width="20.75" style="368" customWidth="1"/>
    <col min="7943" max="8192" width="9" style="368"/>
    <col min="8193" max="8193" width="34.5" style="368" customWidth="1"/>
    <col min="8194" max="8194" width="7" style="368" customWidth="1"/>
    <col min="8195" max="8195" width="20.75" style="368" customWidth="1"/>
    <col min="8196" max="8196" width="34.5" style="368" customWidth="1"/>
    <col min="8197" max="8197" width="7" style="368" customWidth="1"/>
    <col min="8198" max="8198" width="20.75" style="368" customWidth="1"/>
    <col min="8199" max="8448" width="9" style="368"/>
    <col min="8449" max="8449" width="34.5" style="368" customWidth="1"/>
    <col min="8450" max="8450" width="7" style="368" customWidth="1"/>
    <col min="8451" max="8451" width="20.75" style="368" customWidth="1"/>
    <col min="8452" max="8452" width="34.5" style="368" customWidth="1"/>
    <col min="8453" max="8453" width="7" style="368" customWidth="1"/>
    <col min="8454" max="8454" width="20.75" style="368" customWidth="1"/>
    <col min="8455" max="8704" width="9" style="368"/>
    <col min="8705" max="8705" width="34.5" style="368" customWidth="1"/>
    <col min="8706" max="8706" width="7" style="368" customWidth="1"/>
    <col min="8707" max="8707" width="20.75" style="368" customWidth="1"/>
    <col min="8708" max="8708" width="34.5" style="368" customWidth="1"/>
    <col min="8709" max="8709" width="7" style="368" customWidth="1"/>
    <col min="8710" max="8710" width="20.75" style="368" customWidth="1"/>
    <col min="8711" max="8960" width="9" style="368"/>
    <col min="8961" max="8961" width="34.5" style="368" customWidth="1"/>
    <col min="8962" max="8962" width="7" style="368" customWidth="1"/>
    <col min="8963" max="8963" width="20.75" style="368" customWidth="1"/>
    <col min="8964" max="8964" width="34.5" style="368" customWidth="1"/>
    <col min="8965" max="8965" width="7" style="368" customWidth="1"/>
    <col min="8966" max="8966" width="20.75" style="368" customWidth="1"/>
    <col min="8967" max="9216" width="9" style="368"/>
    <col min="9217" max="9217" width="34.5" style="368" customWidth="1"/>
    <col min="9218" max="9218" width="7" style="368" customWidth="1"/>
    <col min="9219" max="9219" width="20.75" style="368" customWidth="1"/>
    <col min="9220" max="9220" width="34.5" style="368" customWidth="1"/>
    <col min="9221" max="9221" width="7" style="368" customWidth="1"/>
    <col min="9222" max="9222" width="20.75" style="368" customWidth="1"/>
    <col min="9223" max="9472" width="9" style="368"/>
    <col min="9473" max="9473" width="34.5" style="368" customWidth="1"/>
    <col min="9474" max="9474" width="7" style="368" customWidth="1"/>
    <col min="9475" max="9475" width="20.75" style="368" customWidth="1"/>
    <col min="9476" max="9476" width="34.5" style="368" customWidth="1"/>
    <col min="9477" max="9477" width="7" style="368" customWidth="1"/>
    <col min="9478" max="9478" width="20.75" style="368" customWidth="1"/>
    <col min="9479" max="9728" width="9" style="368"/>
    <col min="9729" max="9729" width="34.5" style="368" customWidth="1"/>
    <col min="9730" max="9730" width="7" style="368" customWidth="1"/>
    <col min="9731" max="9731" width="20.75" style="368" customWidth="1"/>
    <col min="9732" max="9732" width="34.5" style="368" customWidth="1"/>
    <col min="9733" max="9733" width="7" style="368" customWidth="1"/>
    <col min="9734" max="9734" width="20.75" style="368" customWidth="1"/>
    <col min="9735" max="9984" width="9" style="368"/>
    <col min="9985" max="9985" width="34.5" style="368" customWidth="1"/>
    <col min="9986" max="9986" width="7" style="368" customWidth="1"/>
    <col min="9987" max="9987" width="20.75" style="368" customWidth="1"/>
    <col min="9988" max="9988" width="34.5" style="368" customWidth="1"/>
    <col min="9989" max="9989" width="7" style="368" customWidth="1"/>
    <col min="9990" max="9990" width="20.75" style="368" customWidth="1"/>
    <col min="9991" max="10240" width="9" style="368"/>
    <col min="10241" max="10241" width="34.5" style="368" customWidth="1"/>
    <col min="10242" max="10242" width="7" style="368" customWidth="1"/>
    <col min="10243" max="10243" width="20.75" style="368" customWidth="1"/>
    <col min="10244" max="10244" width="34.5" style="368" customWidth="1"/>
    <col min="10245" max="10245" width="7" style="368" customWidth="1"/>
    <col min="10246" max="10246" width="20.75" style="368" customWidth="1"/>
    <col min="10247" max="10496" width="9" style="368"/>
    <col min="10497" max="10497" width="34.5" style="368" customWidth="1"/>
    <col min="10498" max="10498" width="7" style="368" customWidth="1"/>
    <col min="10499" max="10499" width="20.75" style="368" customWidth="1"/>
    <col min="10500" max="10500" width="34.5" style="368" customWidth="1"/>
    <col min="10501" max="10501" width="7" style="368" customWidth="1"/>
    <col min="10502" max="10502" width="20.75" style="368" customWidth="1"/>
    <col min="10503" max="10752" width="9" style="368"/>
    <col min="10753" max="10753" width="34.5" style="368" customWidth="1"/>
    <col min="10754" max="10754" width="7" style="368" customWidth="1"/>
    <col min="10755" max="10755" width="20.75" style="368" customWidth="1"/>
    <col min="10756" max="10756" width="34.5" style="368" customWidth="1"/>
    <col min="10757" max="10757" width="7" style="368" customWidth="1"/>
    <col min="10758" max="10758" width="20.75" style="368" customWidth="1"/>
    <col min="10759" max="11008" width="9" style="368"/>
    <col min="11009" max="11009" width="34.5" style="368" customWidth="1"/>
    <col min="11010" max="11010" width="7" style="368" customWidth="1"/>
    <col min="11011" max="11011" width="20.75" style="368" customWidth="1"/>
    <col min="11012" max="11012" width="34.5" style="368" customWidth="1"/>
    <col min="11013" max="11013" width="7" style="368" customWidth="1"/>
    <col min="11014" max="11014" width="20.75" style="368" customWidth="1"/>
    <col min="11015" max="11264" width="9" style="368"/>
    <col min="11265" max="11265" width="34.5" style="368" customWidth="1"/>
    <col min="11266" max="11266" width="7" style="368" customWidth="1"/>
    <col min="11267" max="11267" width="20.75" style="368" customWidth="1"/>
    <col min="11268" max="11268" width="34.5" style="368" customWidth="1"/>
    <col min="11269" max="11269" width="7" style="368" customWidth="1"/>
    <col min="11270" max="11270" width="20.75" style="368" customWidth="1"/>
    <col min="11271" max="11520" width="9" style="368"/>
    <col min="11521" max="11521" width="34.5" style="368" customWidth="1"/>
    <col min="11522" max="11522" width="7" style="368" customWidth="1"/>
    <col min="11523" max="11523" width="20.75" style="368" customWidth="1"/>
    <col min="11524" max="11524" width="34.5" style="368" customWidth="1"/>
    <col min="11525" max="11525" width="7" style="368" customWidth="1"/>
    <col min="11526" max="11526" width="20.75" style="368" customWidth="1"/>
    <col min="11527" max="11776" width="9" style="368"/>
    <col min="11777" max="11777" width="34.5" style="368" customWidth="1"/>
    <col min="11778" max="11778" width="7" style="368" customWidth="1"/>
    <col min="11779" max="11779" width="20.75" style="368" customWidth="1"/>
    <col min="11780" max="11780" width="34.5" style="368" customWidth="1"/>
    <col min="11781" max="11781" width="7" style="368" customWidth="1"/>
    <col min="11782" max="11782" width="20.75" style="368" customWidth="1"/>
    <col min="11783" max="12032" width="9" style="368"/>
    <col min="12033" max="12033" width="34.5" style="368" customWidth="1"/>
    <col min="12034" max="12034" width="7" style="368" customWidth="1"/>
    <col min="12035" max="12035" width="20.75" style="368" customWidth="1"/>
    <col min="12036" max="12036" width="34.5" style="368" customWidth="1"/>
    <col min="12037" max="12037" width="7" style="368" customWidth="1"/>
    <col min="12038" max="12038" width="20.75" style="368" customWidth="1"/>
    <col min="12039" max="12288" width="9" style="368"/>
    <col min="12289" max="12289" width="34.5" style="368" customWidth="1"/>
    <col min="12290" max="12290" width="7" style="368" customWidth="1"/>
    <col min="12291" max="12291" width="20.75" style="368" customWidth="1"/>
    <col min="12292" max="12292" width="34.5" style="368" customWidth="1"/>
    <col min="12293" max="12293" width="7" style="368" customWidth="1"/>
    <col min="12294" max="12294" width="20.75" style="368" customWidth="1"/>
    <col min="12295" max="12544" width="9" style="368"/>
    <col min="12545" max="12545" width="34.5" style="368" customWidth="1"/>
    <col min="12546" max="12546" width="7" style="368" customWidth="1"/>
    <col min="12547" max="12547" width="20.75" style="368" customWidth="1"/>
    <col min="12548" max="12548" width="34.5" style="368" customWidth="1"/>
    <col min="12549" max="12549" width="7" style="368" customWidth="1"/>
    <col min="12550" max="12550" width="20.75" style="368" customWidth="1"/>
    <col min="12551" max="12800" width="9" style="368"/>
    <col min="12801" max="12801" width="34.5" style="368" customWidth="1"/>
    <col min="12802" max="12802" width="7" style="368" customWidth="1"/>
    <col min="12803" max="12803" width="20.75" style="368" customWidth="1"/>
    <col min="12804" max="12804" width="34.5" style="368" customWidth="1"/>
    <col min="12805" max="12805" width="7" style="368" customWidth="1"/>
    <col min="12806" max="12806" width="20.75" style="368" customWidth="1"/>
    <col min="12807" max="13056" width="9" style="368"/>
    <col min="13057" max="13057" width="34.5" style="368" customWidth="1"/>
    <col min="13058" max="13058" width="7" style="368" customWidth="1"/>
    <col min="13059" max="13059" width="20.75" style="368" customWidth="1"/>
    <col min="13060" max="13060" width="34.5" style="368" customWidth="1"/>
    <col min="13061" max="13061" width="7" style="368" customWidth="1"/>
    <col min="13062" max="13062" width="20.75" style="368" customWidth="1"/>
    <col min="13063" max="13312" width="9" style="368"/>
    <col min="13313" max="13313" width="34.5" style="368" customWidth="1"/>
    <col min="13314" max="13314" width="7" style="368" customWidth="1"/>
    <col min="13315" max="13315" width="20.75" style="368" customWidth="1"/>
    <col min="13316" max="13316" width="34.5" style="368" customWidth="1"/>
    <col min="13317" max="13317" width="7" style="368" customWidth="1"/>
    <col min="13318" max="13318" width="20.75" style="368" customWidth="1"/>
    <col min="13319" max="13568" width="9" style="368"/>
    <col min="13569" max="13569" width="34.5" style="368" customWidth="1"/>
    <col min="13570" max="13570" width="7" style="368" customWidth="1"/>
    <col min="13571" max="13571" width="20.75" style="368" customWidth="1"/>
    <col min="13572" max="13572" width="34.5" style="368" customWidth="1"/>
    <col min="13573" max="13573" width="7" style="368" customWidth="1"/>
    <col min="13574" max="13574" width="20.75" style="368" customWidth="1"/>
    <col min="13575" max="13824" width="9" style="368"/>
    <col min="13825" max="13825" width="34.5" style="368" customWidth="1"/>
    <col min="13826" max="13826" width="7" style="368" customWidth="1"/>
    <col min="13827" max="13827" width="20.75" style="368" customWidth="1"/>
    <col min="13828" max="13828" width="34.5" style="368" customWidth="1"/>
    <col min="13829" max="13829" width="7" style="368" customWidth="1"/>
    <col min="13830" max="13830" width="20.75" style="368" customWidth="1"/>
    <col min="13831" max="14080" width="9" style="368"/>
    <col min="14081" max="14081" width="34.5" style="368" customWidth="1"/>
    <col min="14082" max="14082" width="7" style="368" customWidth="1"/>
    <col min="14083" max="14083" width="20.75" style="368" customWidth="1"/>
    <col min="14084" max="14084" width="34.5" style="368" customWidth="1"/>
    <col min="14085" max="14085" width="7" style="368" customWidth="1"/>
    <col min="14086" max="14086" width="20.75" style="368" customWidth="1"/>
    <col min="14087" max="14336" width="9" style="368"/>
    <col min="14337" max="14337" width="34.5" style="368" customWidth="1"/>
    <col min="14338" max="14338" width="7" style="368" customWidth="1"/>
    <col min="14339" max="14339" width="20.75" style="368" customWidth="1"/>
    <col min="14340" max="14340" width="34.5" style="368" customWidth="1"/>
    <col min="14341" max="14341" width="7" style="368" customWidth="1"/>
    <col min="14342" max="14342" width="20.75" style="368" customWidth="1"/>
    <col min="14343" max="14592" width="9" style="368"/>
    <col min="14593" max="14593" width="34.5" style="368" customWidth="1"/>
    <col min="14594" max="14594" width="7" style="368" customWidth="1"/>
    <col min="14595" max="14595" width="20.75" style="368" customWidth="1"/>
    <col min="14596" max="14596" width="34.5" style="368" customWidth="1"/>
    <col min="14597" max="14597" width="7" style="368" customWidth="1"/>
    <col min="14598" max="14598" width="20.75" style="368" customWidth="1"/>
    <col min="14599" max="14848" width="9" style="368"/>
    <col min="14849" max="14849" width="34.5" style="368" customWidth="1"/>
    <col min="14850" max="14850" width="7" style="368" customWidth="1"/>
    <col min="14851" max="14851" width="20.75" style="368" customWidth="1"/>
    <col min="14852" max="14852" width="34.5" style="368" customWidth="1"/>
    <col min="14853" max="14853" width="7" style="368" customWidth="1"/>
    <col min="14854" max="14854" width="20.75" style="368" customWidth="1"/>
    <col min="14855" max="15104" width="9" style="368"/>
    <col min="15105" max="15105" width="34.5" style="368" customWidth="1"/>
    <col min="15106" max="15106" width="7" style="368" customWidth="1"/>
    <col min="15107" max="15107" width="20.75" style="368" customWidth="1"/>
    <col min="15108" max="15108" width="34.5" style="368" customWidth="1"/>
    <col min="15109" max="15109" width="7" style="368" customWidth="1"/>
    <col min="15110" max="15110" width="20.75" style="368" customWidth="1"/>
    <col min="15111" max="15360" width="9" style="368"/>
    <col min="15361" max="15361" width="34.5" style="368" customWidth="1"/>
    <col min="15362" max="15362" width="7" style="368" customWidth="1"/>
    <col min="15363" max="15363" width="20.75" style="368" customWidth="1"/>
    <col min="15364" max="15364" width="34.5" style="368" customWidth="1"/>
    <col min="15365" max="15365" width="7" style="368" customWidth="1"/>
    <col min="15366" max="15366" width="20.75" style="368" customWidth="1"/>
    <col min="15367" max="15616" width="9" style="368"/>
    <col min="15617" max="15617" width="34.5" style="368" customWidth="1"/>
    <col min="15618" max="15618" width="7" style="368" customWidth="1"/>
    <col min="15619" max="15619" width="20.75" style="368" customWidth="1"/>
    <col min="15620" max="15620" width="34.5" style="368" customWidth="1"/>
    <col min="15621" max="15621" width="7" style="368" customWidth="1"/>
    <col min="15622" max="15622" width="20.75" style="368" customWidth="1"/>
    <col min="15623" max="15872" width="9" style="368"/>
    <col min="15873" max="15873" width="34.5" style="368" customWidth="1"/>
    <col min="15874" max="15874" width="7" style="368" customWidth="1"/>
    <col min="15875" max="15875" width="20.75" style="368" customWidth="1"/>
    <col min="15876" max="15876" width="34.5" style="368" customWidth="1"/>
    <col min="15877" max="15877" width="7" style="368" customWidth="1"/>
    <col min="15878" max="15878" width="20.75" style="368" customWidth="1"/>
    <col min="15879" max="16128" width="9" style="368"/>
    <col min="16129" max="16129" width="34.5" style="368" customWidth="1"/>
    <col min="16130" max="16130" width="7" style="368" customWidth="1"/>
    <col min="16131" max="16131" width="20.75" style="368" customWidth="1"/>
    <col min="16132" max="16132" width="34.5" style="368" customWidth="1"/>
    <col min="16133" max="16133" width="7" style="368" customWidth="1"/>
    <col min="16134" max="16134" width="20.75" style="368" customWidth="1"/>
    <col min="16135" max="16384" width="9" style="368"/>
  </cols>
  <sheetData>
    <row r="1" spans="1:6" ht="36.75" customHeight="1">
      <c r="A1" s="722" t="s">
        <v>1992</v>
      </c>
      <c r="B1" s="722"/>
      <c r="C1" s="722"/>
      <c r="D1" s="722"/>
      <c r="E1" s="722"/>
      <c r="F1" s="722"/>
    </row>
    <row r="2" spans="1:6" ht="26.25" customHeight="1" thickBot="1">
      <c r="A2" s="343" t="s">
        <v>1526</v>
      </c>
      <c r="B2" s="372"/>
      <c r="C2" s="372"/>
      <c r="D2" s="369"/>
      <c r="E2" s="369"/>
      <c r="F2" s="371" t="s">
        <v>1993</v>
      </c>
    </row>
    <row r="3" spans="1:6" ht="22.5" customHeight="1" thickBot="1">
      <c r="A3" s="400" t="s">
        <v>1528</v>
      </c>
      <c r="B3" s="462" t="s">
        <v>1789</v>
      </c>
      <c r="C3" s="396" t="s">
        <v>1790</v>
      </c>
      <c r="D3" s="400" t="s">
        <v>1528</v>
      </c>
      <c r="E3" s="462" t="s">
        <v>1789</v>
      </c>
      <c r="F3" s="396" t="s">
        <v>1790</v>
      </c>
    </row>
    <row r="4" spans="1:6" ht="20.25" customHeight="1">
      <c r="A4" s="374" t="s">
        <v>1994</v>
      </c>
      <c r="B4" s="521" t="s">
        <v>1542</v>
      </c>
      <c r="C4" s="522" t="s">
        <v>1542</v>
      </c>
      <c r="D4" s="374" t="s">
        <v>1995</v>
      </c>
      <c r="E4" s="521" t="s">
        <v>1793</v>
      </c>
      <c r="F4" s="240">
        <f>C17+C21</f>
        <v>37443601.530000001</v>
      </c>
    </row>
    <row r="5" spans="1:6" ht="20.25" customHeight="1">
      <c r="A5" s="244" t="s">
        <v>1996</v>
      </c>
      <c r="B5" s="523" t="s">
        <v>1542</v>
      </c>
      <c r="C5" s="245" t="s">
        <v>1542</v>
      </c>
      <c r="D5" s="380" t="s">
        <v>1997</v>
      </c>
      <c r="E5" s="523" t="s">
        <v>1831</v>
      </c>
      <c r="F5" s="549">
        <v>82686</v>
      </c>
    </row>
    <row r="6" spans="1:6" ht="20.25" customHeight="1">
      <c r="A6" s="244" t="s">
        <v>1998</v>
      </c>
      <c r="B6" s="321" t="s">
        <v>1801</v>
      </c>
      <c r="C6" s="221">
        <v>0</v>
      </c>
      <c r="D6" s="244" t="s">
        <v>1999</v>
      </c>
      <c r="E6" s="523" t="s">
        <v>1542</v>
      </c>
      <c r="F6" s="245" t="s">
        <v>1542</v>
      </c>
    </row>
    <row r="7" spans="1:6" ht="20.25" customHeight="1">
      <c r="A7" s="244" t="s">
        <v>2000</v>
      </c>
      <c r="B7" s="321" t="s">
        <v>1801</v>
      </c>
      <c r="C7" s="221">
        <v>0</v>
      </c>
      <c r="D7" s="244" t="s">
        <v>1996</v>
      </c>
      <c r="E7" s="523" t="s">
        <v>1542</v>
      </c>
      <c r="F7" s="245" t="s">
        <v>1542</v>
      </c>
    </row>
    <row r="8" spans="1:6" ht="20.25" customHeight="1">
      <c r="A8" s="244" t="s">
        <v>2001</v>
      </c>
      <c r="B8" s="321" t="s">
        <v>1801</v>
      </c>
      <c r="C8" s="221">
        <v>0</v>
      </c>
      <c r="D8" s="244" t="s">
        <v>1998</v>
      </c>
      <c r="E8" s="321" t="s">
        <v>1801</v>
      </c>
      <c r="F8" s="221">
        <v>0</v>
      </c>
    </row>
    <row r="9" spans="1:6" ht="20.25" customHeight="1">
      <c r="A9" s="244" t="s">
        <v>2002</v>
      </c>
      <c r="B9" s="321" t="s">
        <v>1801</v>
      </c>
      <c r="C9" s="221">
        <v>0</v>
      </c>
      <c r="D9" s="244" t="s">
        <v>2000</v>
      </c>
      <c r="E9" s="321" t="s">
        <v>1801</v>
      </c>
      <c r="F9" s="221">
        <v>0</v>
      </c>
    </row>
    <row r="10" spans="1:6" ht="20.25" customHeight="1">
      <c r="A10" s="244" t="s">
        <v>2003</v>
      </c>
      <c r="B10" s="321" t="s">
        <v>1801</v>
      </c>
      <c r="C10" s="221">
        <f>C7-C9</f>
        <v>0</v>
      </c>
      <c r="D10" s="244" t="s">
        <v>2002</v>
      </c>
      <c r="E10" s="321" t="s">
        <v>1801</v>
      </c>
      <c r="F10" s="221">
        <v>0</v>
      </c>
    </row>
    <row r="11" spans="1:6" ht="20.25" customHeight="1">
      <c r="A11" s="244" t="s">
        <v>2004</v>
      </c>
      <c r="B11" s="321" t="s">
        <v>1801</v>
      </c>
      <c r="C11" s="221">
        <f>C6+C10</f>
        <v>0</v>
      </c>
      <c r="D11" s="244" t="s">
        <v>2003</v>
      </c>
      <c r="E11" s="321" t="s">
        <v>1801</v>
      </c>
      <c r="F11" s="221">
        <f>F9-F10</f>
        <v>0</v>
      </c>
    </row>
    <row r="12" spans="1:6" ht="20.25" customHeight="1">
      <c r="A12" s="244" t="s">
        <v>2005</v>
      </c>
      <c r="B12" s="523" t="s">
        <v>1831</v>
      </c>
      <c r="C12" s="221">
        <f>SUM(C13:C14)</f>
        <v>0</v>
      </c>
      <c r="D12" s="244" t="s">
        <v>2004</v>
      </c>
      <c r="E12" s="321" t="s">
        <v>1801</v>
      </c>
      <c r="F12" s="221">
        <f>F8+F11</f>
        <v>0</v>
      </c>
    </row>
    <row r="13" spans="1:6" ht="20.25" customHeight="1">
      <c r="A13" s="244" t="s">
        <v>2006</v>
      </c>
      <c r="B13" s="523" t="s">
        <v>1795</v>
      </c>
      <c r="C13" s="307">
        <v>0</v>
      </c>
      <c r="D13" s="244" t="s">
        <v>2007</v>
      </c>
      <c r="E13" s="523" t="s">
        <v>1795</v>
      </c>
      <c r="F13" s="310">
        <v>0</v>
      </c>
    </row>
    <row r="14" spans="1:6" ht="20.25" customHeight="1">
      <c r="A14" s="244" t="s">
        <v>2008</v>
      </c>
      <c r="B14" s="523" t="s">
        <v>1795</v>
      </c>
      <c r="C14" s="307">
        <v>0</v>
      </c>
      <c r="D14" s="244" t="s">
        <v>2009</v>
      </c>
      <c r="E14" s="523" t="s">
        <v>1542</v>
      </c>
      <c r="F14" s="245" t="s">
        <v>1542</v>
      </c>
    </row>
    <row r="15" spans="1:6" ht="20.25" customHeight="1">
      <c r="A15" s="244" t="s">
        <v>2010</v>
      </c>
      <c r="B15" s="523" t="s">
        <v>1542</v>
      </c>
      <c r="C15" s="245" t="s">
        <v>1542</v>
      </c>
      <c r="D15" s="244" t="s">
        <v>1996</v>
      </c>
      <c r="E15" s="523" t="s">
        <v>1542</v>
      </c>
      <c r="F15" s="245" t="s">
        <v>1542</v>
      </c>
    </row>
    <row r="16" spans="1:6" ht="20.25" customHeight="1">
      <c r="A16" s="244" t="s">
        <v>1996</v>
      </c>
      <c r="B16" s="523" t="s">
        <v>1542</v>
      </c>
      <c r="C16" s="245" t="s">
        <v>1542</v>
      </c>
      <c r="D16" s="244" t="s">
        <v>1998</v>
      </c>
      <c r="E16" s="321" t="s">
        <v>1801</v>
      </c>
      <c r="F16" s="219">
        <v>4720197152.8999996</v>
      </c>
    </row>
    <row r="17" spans="1:6" ht="20.25" customHeight="1">
      <c r="A17" s="244" t="s">
        <v>1998</v>
      </c>
      <c r="B17" s="321" t="s">
        <v>1801</v>
      </c>
      <c r="C17" s="221">
        <v>32558064.300000001</v>
      </c>
      <c r="D17" s="244" t="s">
        <v>2000</v>
      </c>
      <c r="E17" s="321" t="s">
        <v>1801</v>
      </c>
      <c r="F17" s="219">
        <v>988430374.35000002</v>
      </c>
    </row>
    <row r="18" spans="1:6" ht="20.25" customHeight="1">
      <c r="A18" s="244" t="s">
        <v>2000</v>
      </c>
      <c r="B18" s="321" t="s">
        <v>1801</v>
      </c>
      <c r="C18" s="221">
        <v>15428463.050000001</v>
      </c>
      <c r="D18" s="244" t="s">
        <v>2002</v>
      </c>
      <c r="E18" s="321" t="s">
        <v>1801</v>
      </c>
      <c r="F18" s="219">
        <v>386860197.75999999</v>
      </c>
    </row>
    <row r="19" spans="1:6" ht="20.25" customHeight="1">
      <c r="A19" s="244" t="s">
        <v>2011</v>
      </c>
      <c r="B19" s="321" t="s">
        <v>1793</v>
      </c>
      <c r="C19" s="221">
        <v>10000000</v>
      </c>
      <c r="D19" s="244" t="s">
        <v>2003</v>
      </c>
      <c r="E19" s="321" t="s">
        <v>1801</v>
      </c>
      <c r="F19" s="219">
        <f>F17-F18</f>
        <v>601570176.59000003</v>
      </c>
    </row>
    <row r="20" spans="1:6" ht="20.25" customHeight="1">
      <c r="A20" s="244" t="s">
        <v>2002</v>
      </c>
      <c r="B20" s="321" t="s">
        <v>1801</v>
      </c>
      <c r="C20" s="221">
        <v>10542925.82</v>
      </c>
      <c r="D20" s="244" t="s">
        <v>1995</v>
      </c>
      <c r="E20" s="321" t="s">
        <v>1801</v>
      </c>
      <c r="F20" s="221">
        <f>F16+F19</f>
        <v>5321767329.4899998</v>
      </c>
    </row>
    <row r="21" spans="1:6" ht="20.25" customHeight="1" thickBot="1">
      <c r="A21" s="247" t="s">
        <v>2003</v>
      </c>
      <c r="B21" s="390" t="s">
        <v>1801</v>
      </c>
      <c r="C21" s="246">
        <f>C18-C20</f>
        <v>4885537.2300000004</v>
      </c>
      <c r="D21" s="247" t="s">
        <v>1997</v>
      </c>
      <c r="E21" s="530" t="s">
        <v>1795</v>
      </c>
      <c r="F21" s="322">
        <v>12131556</v>
      </c>
    </row>
  </sheetData>
  <mergeCells count="1">
    <mergeCell ref="A1:F1"/>
  </mergeCells>
  <phoneticPr fontId="23" type="noConversion"/>
  <printOptions horizontalCentered="1" verticalCentered="1"/>
  <pageMargins left="0.51181102362204722" right="0.27559055118110237" top="0.78740157480314965" bottom="0.59055118110236227" header="0.51181102362204722" footer="0.51181102362204722"/>
  <pageSetup paperSize="9" orientation="landscape" errors="blank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showGridLines="0" showZeros="0" topLeftCell="A52" workbookViewId="0">
      <selection activeCell="J12" sqref="J12"/>
    </sheetView>
  </sheetViews>
  <sheetFormatPr defaultColWidth="9.125" defaultRowHeight="14.25"/>
  <cols>
    <col min="1" max="1" width="11.875" style="39" customWidth="1"/>
    <col min="2" max="2" width="48.75" style="39" customWidth="1"/>
    <col min="3" max="3" width="20.625" style="39" customWidth="1"/>
    <col min="4" max="251" width="9.125" style="40" customWidth="1"/>
    <col min="252" max="252" width="8.125" style="40" customWidth="1"/>
    <col min="253" max="253" width="26.25" style="40" customWidth="1"/>
    <col min="254" max="257" width="12.125" style="40" customWidth="1"/>
    <col min="258" max="258" width="12.75" style="40" customWidth="1"/>
    <col min="259" max="259" width="12.125" style="40" customWidth="1"/>
    <col min="260" max="507" width="9.125" style="40" customWidth="1"/>
    <col min="508" max="508" width="8.125" style="40" customWidth="1"/>
    <col min="509" max="509" width="26.25" style="40" customWidth="1"/>
    <col min="510" max="513" width="12.125" style="40" customWidth="1"/>
    <col min="514" max="514" width="12.75" style="40" customWidth="1"/>
    <col min="515" max="515" width="12.125" style="40" customWidth="1"/>
    <col min="516" max="763" width="9.125" style="40" customWidth="1"/>
    <col min="764" max="764" width="8.125" style="40" customWidth="1"/>
    <col min="765" max="765" width="26.25" style="40" customWidth="1"/>
    <col min="766" max="769" width="12.125" style="40" customWidth="1"/>
    <col min="770" max="770" width="12.75" style="40" customWidth="1"/>
    <col min="771" max="771" width="12.125" style="40" customWidth="1"/>
    <col min="772" max="1019" width="9.125" style="40" customWidth="1"/>
    <col min="1020" max="1020" width="8.125" style="40" customWidth="1"/>
    <col min="1021" max="1021" width="26.25" style="40" customWidth="1"/>
    <col min="1022" max="1025" width="12.125" style="40" customWidth="1"/>
    <col min="1026" max="1026" width="12.75" style="40" customWidth="1"/>
    <col min="1027" max="1027" width="12.125" style="40" customWidth="1"/>
    <col min="1028" max="1275" width="9.125" style="40" customWidth="1"/>
    <col min="1276" max="1276" width="8.125" style="40" customWidth="1"/>
    <col min="1277" max="1277" width="26.25" style="40" customWidth="1"/>
    <col min="1278" max="1281" width="12.125" style="40" customWidth="1"/>
    <col min="1282" max="1282" width="12.75" style="40" customWidth="1"/>
    <col min="1283" max="1283" width="12.125" style="40" customWidth="1"/>
    <col min="1284" max="1531" width="9.125" style="40" customWidth="1"/>
    <col min="1532" max="1532" width="8.125" style="40" customWidth="1"/>
    <col min="1533" max="1533" width="26.25" style="40" customWidth="1"/>
    <col min="1534" max="1537" width="12.125" style="40" customWidth="1"/>
    <col min="1538" max="1538" width="12.75" style="40" customWidth="1"/>
    <col min="1539" max="1539" width="12.125" style="40" customWidth="1"/>
    <col min="1540" max="1787" width="9.125" style="40" customWidth="1"/>
    <col min="1788" max="1788" width="8.125" style="40" customWidth="1"/>
    <col min="1789" max="1789" width="26.25" style="40" customWidth="1"/>
    <col min="1790" max="1793" width="12.125" style="40" customWidth="1"/>
    <col min="1794" max="1794" width="12.75" style="40" customWidth="1"/>
    <col min="1795" max="1795" width="12.125" style="40" customWidth="1"/>
    <col min="1796" max="2043" width="9.125" style="40" customWidth="1"/>
    <col min="2044" max="2044" width="8.125" style="40" customWidth="1"/>
    <col min="2045" max="2045" width="26.25" style="40" customWidth="1"/>
    <col min="2046" max="2049" width="12.125" style="40" customWidth="1"/>
    <col min="2050" max="2050" width="12.75" style="40" customWidth="1"/>
    <col min="2051" max="2051" width="12.125" style="40" customWidth="1"/>
    <col min="2052" max="2299" width="9.125" style="40" customWidth="1"/>
    <col min="2300" max="2300" width="8.125" style="40" customWidth="1"/>
    <col min="2301" max="2301" width="26.25" style="40" customWidth="1"/>
    <col min="2302" max="2305" width="12.125" style="40" customWidth="1"/>
    <col min="2306" max="2306" width="12.75" style="40" customWidth="1"/>
    <col min="2307" max="2307" width="12.125" style="40" customWidth="1"/>
    <col min="2308" max="2555" width="9.125" style="40" customWidth="1"/>
    <col min="2556" max="2556" width="8.125" style="40" customWidth="1"/>
    <col min="2557" max="2557" width="26.25" style="40" customWidth="1"/>
    <col min="2558" max="2561" width="12.125" style="40" customWidth="1"/>
    <col min="2562" max="2562" width="12.75" style="40" customWidth="1"/>
    <col min="2563" max="2563" width="12.125" style="40" customWidth="1"/>
    <col min="2564" max="2811" width="9.125" style="40" customWidth="1"/>
    <col min="2812" max="2812" width="8.125" style="40" customWidth="1"/>
    <col min="2813" max="2813" width="26.25" style="40" customWidth="1"/>
    <col min="2814" max="2817" width="12.125" style="40" customWidth="1"/>
    <col min="2818" max="2818" width="12.75" style="40" customWidth="1"/>
    <col min="2819" max="2819" width="12.125" style="40" customWidth="1"/>
    <col min="2820" max="3067" width="9.125" style="40" customWidth="1"/>
    <col min="3068" max="3068" width="8.125" style="40" customWidth="1"/>
    <col min="3069" max="3069" width="26.25" style="40" customWidth="1"/>
    <col min="3070" max="3073" width="12.125" style="40" customWidth="1"/>
    <col min="3074" max="3074" width="12.75" style="40" customWidth="1"/>
    <col min="3075" max="3075" width="12.125" style="40" customWidth="1"/>
    <col min="3076" max="3323" width="9.125" style="40" customWidth="1"/>
    <col min="3324" max="3324" width="8.125" style="40" customWidth="1"/>
    <col min="3325" max="3325" width="26.25" style="40" customWidth="1"/>
    <col min="3326" max="3329" width="12.125" style="40" customWidth="1"/>
    <col min="3330" max="3330" width="12.75" style="40" customWidth="1"/>
    <col min="3331" max="3331" width="12.125" style="40" customWidth="1"/>
    <col min="3332" max="3579" width="9.125" style="40" customWidth="1"/>
    <col min="3580" max="3580" width="8.125" style="40" customWidth="1"/>
    <col min="3581" max="3581" width="26.25" style="40" customWidth="1"/>
    <col min="3582" max="3585" width="12.125" style="40" customWidth="1"/>
    <col min="3586" max="3586" width="12.75" style="40" customWidth="1"/>
    <col min="3587" max="3587" width="12.125" style="40" customWidth="1"/>
    <col min="3588" max="3835" width="9.125" style="40" customWidth="1"/>
    <col min="3836" max="3836" width="8.125" style="40" customWidth="1"/>
    <col min="3837" max="3837" width="26.25" style="40" customWidth="1"/>
    <col min="3838" max="3841" width="12.125" style="40" customWidth="1"/>
    <col min="3842" max="3842" width="12.75" style="40" customWidth="1"/>
    <col min="3843" max="3843" width="12.125" style="40" customWidth="1"/>
    <col min="3844" max="4091" width="9.125" style="40" customWidth="1"/>
    <col min="4092" max="4092" width="8.125" style="40" customWidth="1"/>
    <col min="4093" max="4093" width="26.25" style="40" customWidth="1"/>
    <col min="4094" max="4097" width="12.125" style="40" customWidth="1"/>
    <col min="4098" max="4098" width="12.75" style="40" customWidth="1"/>
    <col min="4099" max="4099" width="12.125" style="40" customWidth="1"/>
    <col min="4100" max="4347" width="9.125" style="40" customWidth="1"/>
    <col min="4348" max="4348" width="8.125" style="40" customWidth="1"/>
    <col min="4349" max="4349" width="26.25" style="40" customWidth="1"/>
    <col min="4350" max="4353" width="12.125" style="40" customWidth="1"/>
    <col min="4354" max="4354" width="12.75" style="40" customWidth="1"/>
    <col min="4355" max="4355" width="12.125" style="40" customWidth="1"/>
    <col min="4356" max="4603" width="9.125" style="40" customWidth="1"/>
    <col min="4604" max="4604" width="8.125" style="40" customWidth="1"/>
    <col min="4605" max="4605" width="26.25" style="40" customWidth="1"/>
    <col min="4606" max="4609" width="12.125" style="40" customWidth="1"/>
    <col min="4610" max="4610" width="12.75" style="40" customWidth="1"/>
    <col min="4611" max="4611" width="12.125" style="40" customWidth="1"/>
    <col min="4612" max="4859" width="9.125" style="40" customWidth="1"/>
    <col min="4860" max="4860" width="8.125" style="40" customWidth="1"/>
    <col min="4861" max="4861" width="26.25" style="40" customWidth="1"/>
    <col min="4862" max="4865" width="12.125" style="40" customWidth="1"/>
    <col min="4866" max="4866" width="12.75" style="40" customWidth="1"/>
    <col min="4867" max="4867" width="12.125" style="40" customWidth="1"/>
    <col min="4868" max="5115" width="9.125" style="40" customWidth="1"/>
    <col min="5116" max="5116" width="8.125" style="40" customWidth="1"/>
    <col min="5117" max="5117" width="26.25" style="40" customWidth="1"/>
    <col min="5118" max="5121" width="12.125" style="40" customWidth="1"/>
    <col min="5122" max="5122" width="12.75" style="40" customWidth="1"/>
    <col min="5123" max="5123" width="12.125" style="40" customWidth="1"/>
    <col min="5124" max="5371" width="9.125" style="40" customWidth="1"/>
    <col min="5372" max="5372" width="8.125" style="40" customWidth="1"/>
    <col min="5373" max="5373" width="26.25" style="40" customWidth="1"/>
    <col min="5374" max="5377" width="12.125" style="40" customWidth="1"/>
    <col min="5378" max="5378" width="12.75" style="40" customWidth="1"/>
    <col min="5379" max="5379" width="12.125" style="40" customWidth="1"/>
    <col min="5380" max="5627" width="9.125" style="40" customWidth="1"/>
    <col min="5628" max="5628" width="8.125" style="40" customWidth="1"/>
    <col min="5629" max="5629" width="26.25" style="40" customWidth="1"/>
    <col min="5630" max="5633" width="12.125" style="40" customWidth="1"/>
    <col min="5634" max="5634" width="12.75" style="40" customWidth="1"/>
    <col min="5635" max="5635" width="12.125" style="40" customWidth="1"/>
    <col min="5636" max="5883" width="9.125" style="40" customWidth="1"/>
    <col min="5884" max="5884" width="8.125" style="40" customWidth="1"/>
    <col min="5885" max="5885" width="26.25" style="40" customWidth="1"/>
    <col min="5886" max="5889" width="12.125" style="40" customWidth="1"/>
    <col min="5890" max="5890" width="12.75" style="40" customWidth="1"/>
    <col min="5891" max="5891" width="12.125" style="40" customWidth="1"/>
    <col min="5892" max="6139" width="9.125" style="40" customWidth="1"/>
    <col min="6140" max="6140" width="8.125" style="40" customWidth="1"/>
    <col min="6141" max="6141" width="26.25" style="40" customWidth="1"/>
    <col min="6142" max="6145" width="12.125" style="40" customWidth="1"/>
    <col min="6146" max="6146" width="12.75" style="40" customWidth="1"/>
    <col min="6147" max="6147" width="12.125" style="40" customWidth="1"/>
    <col min="6148" max="6395" width="9.125" style="40" customWidth="1"/>
    <col min="6396" max="6396" width="8.125" style="40" customWidth="1"/>
    <col min="6397" max="6397" width="26.25" style="40" customWidth="1"/>
    <col min="6398" max="6401" width="12.125" style="40" customWidth="1"/>
    <col min="6402" max="6402" width="12.75" style="40" customWidth="1"/>
    <col min="6403" max="6403" width="12.125" style="40" customWidth="1"/>
    <col min="6404" max="6651" width="9.125" style="40" customWidth="1"/>
    <col min="6652" max="6652" width="8.125" style="40" customWidth="1"/>
    <col min="6653" max="6653" width="26.25" style="40" customWidth="1"/>
    <col min="6654" max="6657" width="12.125" style="40" customWidth="1"/>
    <col min="6658" max="6658" width="12.75" style="40" customWidth="1"/>
    <col min="6659" max="6659" width="12.125" style="40" customWidth="1"/>
    <col min="6660" max="6907" width="9.125" style="40" customWidth="1"/>
    <col min="6908" max="6908" width="8.125" style="40" customWidth="1"/>
    <col min="6909" max="6909" width="26.25" style="40" customWidth="1"/>
    <col min="6910" max="6913" width="12.125" style="40" customWidth="1"/>
    <col min="6914" max="6914" width="12.75" style="40" customWidth="1"/>
    <col min="6915" max="6915" width="12.125" style="40" customWidth="1"/>
    <col min="6916" max="7163" width="9.125" style="40" customWidth="1"/>
    <col min="7164" max="7164" width="8.125" style="40" customWidth="1"/>
    <col min="7165" max="7165" width="26.25" style="40" customWidth="1"/>
    <col min="7166" max="7169" width="12.125" style="40" customWidth="1"/>
    <col min="7170" max="7170" width="12.75" style="40" customWidth="1"/>
    <col min="7171" max="7171" width="12.125" style="40" customWidth="1"/>
    <col min="7172" max="7419" width="9.125" style="40" customWidth="1"/>
    <col min="7420" max="7420" width="8.125" style="40" customWidth="1"/>
    <col min="7421" max="7421" width="26.25" style="40" customWidth="1"/>
    <col min="7422" max="7425" width="12.125" style="40" customWidth="1"/>
    <col min="7426" max="7426" width="12.75" style="40" customWidth="1"/>
    <col min="7427" max="7427" width="12.125" style="40" customWidth="1"/>
    <col min="7428" max="7675" width="9.125" style="40" customWidth="1"/>
    <col min="7676" max="7676" width="8.125" style="40" customWidth="1"/>
    <col min="7677" max="7677" width="26.25" style="40" customWidth="1"/>
    <col min="7678" max="7681" width="12.125" style="40" customWidth="1"/>
    <col min="7682" max="7682" width="12.75" style="40" customWidth="1"/>
    <col min="7683" max="7683" width="12.125" style="40" customWidth="1"/>
    <col min="7684" max="7931" width="9.125" style="40" customWidth="1"/>
    <col min="7932" max="7932" width="8.125" style="40" customWidth="1"/>
    <col min="7933" max="7933" width="26.25" style="40" customWidth="1"/>
    <col min="7934" max="7937" width="12.125" style="40" customWidth="1"/>
    <col min="7938" max="7938" width="12.75" style="40" customWidth="1"/>
    <col min="7939" max="7939" width="12.125" style="40" customWidth="1"/>
    <col min="7940" max="8187" width="9.125" style="40" customWidth="1"/>
    <col min="8188" max="8188" width="8.125" style="40" customWidth="1"/>
    <col min="8189" max="8189" width="26.25" style="40" customWidth="1"/>
    <col min="8190" max="8193" width="12.125" style="40" customWidth="1"/>
    <col min="8194" max="8194" width="12.75" style="40" customWidth="1"/>
    <col min="8195" max="8195" width="12.125" style="40" customWidth="1"/>
    <col min="8196" max="8443" width="9.125" style="40" customWidth="1"/>
    <col min="8444" max="8444" width="8.125" style="40" customWidth="1"/>
    <col min="8445" max="8445" width="26.25" style="40" customWidth="1"/>
    <col min="8446" max="8449" width="12.125" style="40" customWidth="1"/>
    <col min="8450" max="8450" width="12.75" style="40" customWidth="1"/>
    <col min="8451" max="8451" width="12.125" style="40" customWidth="1"/>
    <col min="8452" max="8699" width="9.125" style="40" customWidth="1"/>
    <col min="8700" max="8700" width="8.125" style="40" customWidth="1"/>
    <col min="8701" max="8701" width="26.25" style="40" customWidth="1"/>
    <col min="8702" max="8705" width="12.125" style="40" customWidth="1"/>
    <col min="8706" max="8706" width="12.75" style="40" customWidth="1"/>
    <col min="8707" max="8707" width="12.125" style="40" customWidth="1"/>
    <col min="8708" max="8955" width="9.125" style="40" customWidth="1"/>
    <col min="8956" max="8956" width="8.125" style="40" customWidth="1"/>
    <col min="8957" max="8957" width="26.25" style="40" customWidth="1"/>
    <col min="8958" max="8961" width="12.125" style="40" customWidth="1"/>
    <col min="8962" max="8962" width="12.75" style="40" customWidth="1"/>
    <col min="8963" max="8963" width="12.125" style="40" customWidth="1"/>
    <col min="8964" max="9211" width="9.125" style="40" customWidth="1"/>
    <col min="9212" max="9212" width="8.125" style="40" customWidth="1"/>
    <col min="9213" max="9213" width="26.25" style="40" customWidth="1"/>
    <col min="9214" max="9217" width="12.125" style="40" customWidth="1"/>
    <col min="9218" max="9218" width="12.75" style="40" customWidth="1"/>
    <col min="9219" max="9219" width="12.125" style="40" customWidth="1"/>
    <col min="9220" max="9467" width="9.125" style="40" customWidth="1"/>
    <col min="9468" max="9468" width="8.125" style="40" customWidth="1"/>
    <col min="9469" max="9469" width="26.25" style="40" customWidth="1"/>
    <col min="9470" max="9473" width="12.125" style="40" customWidth="1"/>
    <col min="9474" max="9474" width="12.75" style="40" customWidth="1"/>
    <col min="9475" max="9475" width="12.125" style="40" customWidth="1"/>
    <col min="9476" max="9723" width="9.125" style="40" customWidth="1"/>
    <col min="9724" max="9724" width="8.125" style="40" customWidth="1"/>
    <col min="9725" max="9725" width="26.25" style="40" customWidth="1"/>
    <col min="9726" max="9729" width="12.125" style="40" customWidth="1"/>
    <col min="9730" max="9730" width="12.75" style="40" customWidth="1"/>
    <col min="9731" max="9731" width="12.125" style="40" customWidth="1"/>
    <col min="9732" max="9979" width="9.125" style="40" customWidth="1"/>
    <col min="9980" max="9980" width="8.125" style="40" customWidth="1"/>
    <col min="9981" max="9981" width="26.25" style="40" customWidth="1"/>
    <col min="9982" max="9985" width="12.125" style="40" customWidth="1"/>
    <col min="9986" max="9986" width="12.75" style="40" customWidth="1"/>
    <col min="9987" max="9987" width="12.125" style="40" customWidth="1"/>
    <col min="9988" max="10235" width="9.125" style="40" customWidth="1"/>
    <col min="10236" max="10236" width="8.125" style="40" customWidth="1"/>
    <col min="10237" max="10237" width="26.25" style="40" customWidth="1"/>
    <col min="10238" max="10241" width="12.125" style="40" customWidth="1"/>
    <col min="10242" max="10242" width="12.75" style="40" customWidth="1"/>
    <col min="10243" max="10243" width="12.125" style="40" customWidth="1"/>
    <col min="10244" max="10491" width="9.125" style="40" customWidth="1"/>
    <col min="10492" max="10492" width="8.125" style="40" customWidth="1"/>
    <col min="10493" max="10493" width="26.25" style="40" customWidth="1"/>
    <col min="10494" max="10497" width="12.125" style="40" customWidth="1"/>
    <col min="10498" max="10498" width="12.75" style="40" customWidth="1"/>
    <col min="10499" max="10499" width="12.125" style="40" customWidth="1"/>
    <col min="10500" max="10747" width="9.125" style="40" customWidth="1"/>
    <col min="10748" max="10748" width="8.125" style="40" customWidth="1"/>
    <col min="10749" max="10749" width="26.25" style="40" customWidth="1"/>
    <col min="10750" max="10753" width="12.125" style="40" customWidth="1"/>
    <col min="10754" max="10754" width="12.75" style="40" customWidth="1"/>
    <col min="10755" max="10755" width="12.125" style="40" customWidth="1"/>
    <col min="10756" max="11003" width="9.125" style="40" customWidth="1"/>
    <col min="11004" max="11004" width="8.125" style="40" customWidth="1"/>
    <col min="11005" max="11005" width="26.25" style="40" customWidth="1"/>
    <col min="11006" max="11009" width="12.125" style="40" customWidth="1"/>
    <col min="11010" max="11010" width="12.75" style="40" customWidth="1"/>
    <col min="11011" max="11011" width="12.125" style="40" customWidth="1"/>
    <col min="11012" max="11259" width="9.125" style="40" customWidth="1"/>
    <col min="11260" max="11260" width="8.125" style="40" customWidth="1"/>
    <col min="11261" max="11261" width="26.25" style="40" customWidth="1"/>
    <col min="11262" max="11265" width="12.125" style="40" customWidth="1"/>
    <col min="11266" max="11266" width="12.75" style="40" customWidth="1"/>
    <col min="11267" max="11267" width="12.125" style="40" customWidth="1"/>
    <col min="11268" max="11515" width="9.125" style="40" customWidth="1"/>
    <col min="11516" max="11516" width="8.125" style="40" customWidth="1"/>
    <col min="11517" max="11517" width="26.25" style="40" customWidth="1"/>
    <col min="11518" max="11521" width="12.125" style="40" customWidth="1"/>
    <col min="11522" max="11522" width="12.75" style="40" customWidth="1"/>
    <col min="11523" max="11523" width="12.125" style="40" customWidth="1"/>
    <col min="11524" max="11771" width="9.125" style="40" customWidth="1"/>
    <col min="11772" max="11772" width="8.125" style="40" customWidth="1"/>
    <col min="11773" max="11773" width="26.25" style="40" customWidth="1"/>
    <col min="11774" max="11777" width="12.125" style="40" customWidth="1"/>
    <col min="11778" max="11778" width="12.75" style="40" customWidth="1"/>
    <col min="11779" max="11779" width="12.125" style="40" customWidth="1"/>
    <col min="11780" max="12027" width="9.125" style="40" customWidth="1"/>
    <col min="12028" max="12028" width="8.125" style="40" customWidth="1"/>
    <col min="12029" max="12029" width="26.25" style="40" customWidth="1"/>
    <col min="12030" max="12033" width="12.125" style="40" customWidth="1"/>
    <col min="12034" max="12034" width="12.75" style="40" customWidth="1"/>
    <col min="12035" max="12035" width="12.125" style="40" customWidth="1"/>
    <col min="12036" max="12283" width="9.125" style="40" customWidth="1"/>
    <col min="12284" max="12284" width="8.125" style="40" customWidth="1"/>
    <col min="12285" max="12285" width="26.25" style="40" customWidth="1"/>
    <col min="12286" max="12289" width="12.125" style="40" customWidth="1"/>
    <col min="12290" max="12290" width="12.75" style="40" customWidth="1"/>
    <col min="12291" max="12291" width="12.125" style="40" customWidth="1"/>
    <col min="12292" max="12539" width="9.125" style="40" customWidth="1"/>
    <col min="12540" max="12540" width="8.125" style="40" customWidth="1"/>
    <col min="12541" max="12541" width="26.25" style="40" customWidth="1"/>
    <col min="12542" max="12545" width="12.125" style="40" customWidth="1"/>
    <col min="12546" max="12546" width="12.75" style="40" customWidth="1"/>
    <col min="12547" max="12547" width="12.125" style="40" customWidth="1"/>
    <col min="12548" max="12795" width="9.125" style="40" customWidth="1"/>
    <col min="12796" max="12796" width="8.125" style="40" customWidth="1"/>
    <col min="12797" max="12797" width="26.25" style="40" customWidth="1"/>
    <col min="12798" max="12801" width="12.125" style="40" customWidth="1"/>
    <col min="12802" max="12802" width="12.75" style="40" customWidth="1"/>
    <col min="12803" max="12803" width="12.125" style="40" customWidth="1"/>
    <col min="12804" max="13051" width="9.125" style="40" customWidth="1"/>
    <col min="13052" max="13052" width="8.125" style="40" customWidth="1"/>
    <col min="13053" max="13053" width="26.25" style="40" customWidth="1"/>
    <col min="13054" max="13057" width="12.125" style="40" customWidth="1"/>
    <col min="13058" max="13058" width="12.75" style="40" customWidth="1"/>
    <col min="13059" max="13059" width="12.125" style="40" customWidth="1"/>
    <col min="13060" max="13307" width="9.125" style="40" customWidth="1"/>
    <col min="13308" max="13308" width="8.125" style="40" customWidth="1"/>
    <col min="13309" max="13309" width="26.25" style="40" customWidth="1"/>
    <col min="13310" max="13313" width="12.125" style="40" customWidth="1"/>
    <col min="13314" max="13314" width="12.75" style="40" customWidth="1"/>
    <col min="13315" max="13315" width="12.125" style="40" customWidth="1"/>
    <col min="13316" max="13563" width="9.125" style="40" customWidth="1"/>
    <col min="13564" max="13564" width="8.125" style="40" customWidth="1"/>
    <col min="13565" max="13565" width="26.25" style="40" customWidth="1"/>
    <col min="13566" max="13569" width="12.125" style="40" customWidth="1"/>
    <col min="13570" max="13570" width="12.75" style="40" customWidth="1"/>
    <col min="13571" max="13571" width="12.125" style="40" customWidth="1"/>
    <col min="13572" max="13819" width="9.125" style="40" customWidth="1"/>
    <col min="13820" max="13820" width="8.125" style="40" customWidth="1"/>
    <col min="13821" max="13821" width="26.25" style="40" customWidth="1"/>
    <col min="13822" max="13825" width="12.125" style="40" customWidth="1"/>
    <col min="13826" max="13826" width="12.75" style="40" customWidth="1"/>
    <col min="13827" max="13827" width="12.125" style="40" customWidth="1"/>
    <col min="13828" max="14075" width="9.125" style="40" customWidth="1"/>
    <col min="14076" max="14076" width="8.125" style="40" customWidth="1"/>
    <col min="14077" max="14077" width="26.25" style="40" customWidth="1"/>
    <col min="14078" max="14081" width="12.125" style="40" customWidth="1"/>
    <col min="14082" max="14082" width="12.75" style="40" customWidth="1"/>
    <col min="14083" max="14083" width="12.125" style="40" customWidth="1"/>
    <col min="14084" max="14331" width="9.125" style="40" customWidth="1"/>
    <col min="14332" max="14332" width="8.125" style="40" customWidth="1"/>
    <col min="14333" max="14333" width="26.25" style="40" customWidth="1"/>
    <col min="14334" max="14337" width="12.125" style="40" customWidth="1"/>
    <col min="14338" max="14338" width="12.75" style="40" customWidth="1"/>
    <col min="14339" max="14339" width="12.125" style="40" customWidth="1"/>
    <col min="14340" max="14587" width="9.125" style="40" customWidth="1"/>
    <col min="14588" max="14588" width="8.125" style="40" customWidth="1"/>
    <col min="14589" max="14589" width="26.25" style="40" customWidth="1"/>
    <col min="14590" max="14593" width="12.125" style="40" customWidth="1"/>
    <col min="14594" max="14594" width="12.75" style="40" customWidth="1"/>
    <col min="14595" max="14595" width="12.125" style="40" customWidth="1"/>
    <col min="14596" max="14843" width="9.125" style="40" customWidth="1"/>
    <col min="14844" max="14844" width="8.125" style="40" customWidth="1"/>
    <col min="14845" max="14845" width="26.25" style="40" customWidth="1"/>
    <col min="14846" max="14849" width="12.125" style="40" customWidth="1"/>
    <col min="14850" max="14850" width="12.75" style="40" customWidth="1"/>
    <col min="14851" max="14851" width="12.125" style="40" customWidth="1"/>
    <col min="14852" max="15099" width="9.125" style="40" customWidth="1"/>
    <col min="15100" max="15100" width="8.125" style="40" customWidth="1"/>
    <col min="15101" max="15101" width="26.25" style="40" customWidth="1"/>
    <col min="15102" max="15105" width="12.125" style="40" customWidth="1"/>
    <col min="15106" max="15106" width="12.75" style="40" customWidth="1"/>
    <col min="15107" max="15107" width="12.125" style="40" customWidth="1"/>
    <col min="15108" max="15355" width="9.125" style="40" customWidth="1"/>
    <col min="15356" max="15356" width="8.125" style="40" customWidth="1"/>
    <col min="15357" max="15357" width="26.25" style="40" customWidth="1"/>
    <col min="15358" max="15361" width="12.125" style="40" customWidth="1"/>
    <col min="15362" max="15362" width="12.75" style="40" customWidth="1"/>
    <col min="15363" max="15363" width="12.125" style="40" customWidth="1"/>
    <col min="15364" max="15611" width="9.125" style="40" customWidth="1"/>
    <col min="15612" max="15612" width="8.125" style="40" customWidth="1"/>
    <col min="15613" max="15613" width="26.25" style="40" customWidth="1"/>
    <col min="15614" max="15617" width="12.125" style="40" customWidth="1"/>
    <col min="15618" max="15618" width="12.75" style="40" customWidth="1"/>
    <col min="15619" max="15619" width="12.125" style="40" customWidth="1"/>
    <col min="15620" max="15867" width="9.125" style="40" customWidth="1"/>
    <col min="15868" max="15868" width="8.125" style="40" customWidth="1"/>
    <col min="15869" max="15869" width="26.25" style="40" customWidth="1"/>
    <col min="15870" max="15873" width="12.125" style="40" customWidth="1"/>
    <col min="15874" max="15874" width="12.75" style="40" customWidth="1"/>
    <col min="15875" max="15875" width="12.125" style="40" customWidth="1"/>
    <col min="15876" max="16123" width="9.125" style="40" customWidth="1"/>
    <col min="16124" max="16124" width="8.125" style="40" customWidth="1"/>
    <col min="16125" max="16125" width="26.25" style="40" customWidth="1"/>
    <col min="16126" max="16129" width="12.125" style="40" customWidth="1"/>
    <col min="16130" max="16130" width="12.75" style="40" customWidth="1"/>
    <col min="16131" max="16131" width="12.125" style="40" customWidth="1"/>
    <col min="16132" max="16379" width="9.125" style="40" customWidth="1"/>
    <col min="16380" max="16384" width="9.125" style="40"/>
  </cols>
  <sheetData>
    <row r="1" spans="1:4" s="39" customFormat="1" ht="34.5" customHeight="1">
      <c r="A1" s="679" t="s">
        <v>2187</v>
      </c>
      <c r="B1" s="679"/>
      <c r="C1" s="679"/>
    </row>
    <row r="2" spans="1:4" s="39" customFormat="1" ht="17.100000000000001" customHeight="1">
      <c r="A2" s="680" t="s">
        <v>1103</v>
      </c>
      <c r="B2" s="680"/>
      <c r="C2" s="681"/>
    </row>
    <row r="3" spans="1:4" s="45" customFormat="1" ht="22.5" customHeight="1">
      <c r="A3" s="682" t="s">
        <v>1326</v>
      </c>
      <c r="B3" s="683" t="s">
        <v>1010</v>
      </c>
      <c r="C3" s="684" t="s">
        <v>2161</v>
      </c>
    </row>
    <row r="4" spans="1:4" s="45" customFormat="1" ht="12.75" customHeight="1">
      <c r="A4" s="683"/>
      <c r="B4" s="683"/>
      <c r="C4" s="685"/>
    </row>
    <row r="5" spans="1:4" s="45" customFormat="1">
      <c r="A5" s="683"/>
      <c r="B5" s="683"/>
      <c r="C5" s="682"/>
    </row>
    <row r="6" spans="1:4" s="45" customFormat="1" ht="18.75" customHeight="1">
      <c r="A6" s="150">
        <v>301</v>
      </c>
      <c r="B6" s="150" t="s">
        <v>2134</v>
      </c>
      <c r="C6" s="151">
        <v>1261034</v>
      </c>
      <c r="D6" s="643"/>
    </row>
    <row r="7" spans="1:4" s="39" customFormat="1" ht="18.75" customHeight="1">
      <c r="A7" s="41">
        <v>30101</v>
      </c>
      <c r="B7" s="41" t="s">
        <v>1327</v>
      </c>
      <c r="C7" s="43">
        <v>949775</v>
      </c>
    </row>
    <row r="8" spans="1:4" s="39" customFormat="1" ht="18.75" customHeight="1">
      <c r="A8" s="41">
        <v>30102</v>
      </c>
      <c r="B8" s="41" t="s">
        <v>1328</v>
      </c>
      <c r="C8" s="43">
        <v>47427</v>
      </c>
    </row>
    <row r="9" spans="1:4" s="39" customFormat="1" ht="18.75" customHeight="1">
      <c r="A9" s="41">
        <v>30103</v>
      </c>
      <c r="B9" s="41" t="s">
        <v>1329</v>
      </c>
      <c r="C9" s="43">
        <v>30139</v>
      </c>
    </row>
    <row r="10" spans="1:4" s="39" customFormat="1" ht="18.75" customHeight="1">
      <c r="A10" s="41">
        <v>30104</v>
      </c>
      <c r="B10" s="41" t="s">
        <v>1330</v>
      </c>
      <c r="C10" s="43">
        <v>13069</v>
      </c>
    </row>
    <row r="11" spans="1:4" s="39" customFormat="1" ht="18.75" customHeight="1">
      <c r="A11" s="41">
        <v>30105</v>
      </c>
      <c r="B11" s="41" t="s">
        <v>1331</v>
      </c>
      <c r="C11" s="43">
        <v>793</v>
      </c>
    </row>
    <row r="12" spans="1:4" s="39" customFormat="1" ht="18.75" customHeight="1">
      <c r="A12" s="41">
        <v>30106</v>
      </c>
      <c r="B12" s="41" t="s">
        <v>1332</v>
      </c>
      <c r="C12" s="43">
        <v>1648</v>
      </c>
    </row>
    <row r="13" spans="1:4" s="39" customFormat="1" ht="18.75" customHeight="1">
      <c r="A13" s="41">
        <v>30107</v>
      </c>
      <c r="B13" s="41" t="s">
        <v>1333</v>
      </c>
      <c r="C13" s="43">
        <v>60586</v>
      </c>
    </row>
    <row r="14" spans="1:4" s="39" customFormat="1" ht="18.75" customHeight="1">
      <c r="A14" s="41">
        <v>30199</v>
      </c>
      <c r="B14" s="41" t="s">
        <v>1334</v>
      </c>
      <c r="C14" s="43">
        <v>157597</v>
      </c>
    </row>
    <row r="15" spans="1:4" s="45" customFormat="1" ht="18.75" customHeight="1">
      <c r="A15" s="150">
        <v>302</v>
      </c>
      <c r="B15" s="150" t="s">
        <v>1335</v>
      </c>
      <c r="C15" s="151">
        <v>2417322</v>
      </c>
    </row>
    <row r="16" spans="1:4" s="39" customFormat="1" ht="18.75" customHeight="1">
      <c r="A16" s="41">
        <v>30201</v>
      </c>
      <c r="B16" s="41" t="s">
        <v>1336</v>
      </c>
      <c r="C16" s="43">
        <v>30449</v>
      </c>
    </row>
    <row r="17" spans="1:3" s="39" customFormat="1" ht="18.75" customHeight="1">
      <c r="A17" s="41">
        <v>30202</v>
      </c>
      <c r="B17" s="41" t="s">
        <v>1337</v>
      </c>
      <c r="C17" s="43">
        <v>24596</v>
      </c>
    </row>
    <row r="18" spans="1:3" s="39" customFormat="1" ht="18.75" customHeight="1">
      <c r="A18" s="41">
        <v>30203</v>
      </c>
      <c r="B18" s="41" t="s">
        <v>1338</v>
      </c>
      <c r="C18" s="43">
        <v>14409</v>
      </c>
    </row>
    <row r="19" spans="1:3" s="39" customFormat="1" ht="18.75" customHeight="1">
      <c r="A19" s="41">
        <v>30204</v>
      </c>
      <c r="B19" s="41" t="s">
        <v>1339</v>
      </c>
      <c r="C19" s="43">
        <v>79601</v>
      </c>
    </row>
    <row r="20" spans="1:3" s="39" customFormat="1" ht="18.75" customHeight="1">
      <c r="A20" s="41">
        <v>30205</v>
      </c>
      <c r="B20" s="41" t="s">
        <v>1340</v>
      </c>
      <c r="C20" s="43">
        <v>37833</v>
      </c>
    </row>
    <row r="21" spans="1:3" s="39" customFormat="1" ht="18.75" customHeight="1">
      <c r="A21" s="41">
        <v>30206</v>
      </c>
      <c r="B21" s="41" t="s">
        <v>1341</v>
      </c>
      <c r="C21" s="43">
        <v>72794</v>
      </c>
    </row>
    <row r="22" spans="1:3" s="39" customFormat="1" ht="18.75" customHeight="1">
      <c r="A22" s="41">
        <v>30207</v>
      </c>
      <c r="B22" s="41" t="s">
        <v>1342</v>
      </c>
      <c r="C22" s="43">
        <v>15683</v>
      </c>
    </row>
    <row r="23" spans="1:3" s="39" customFormat="1" ht="18.75" customHeight="1">
      <c r="A23" s="41">
        <v>30208</v>
      </c>
      <c r="B23" s="41" t="s">
        <v>1343</v>
      </c>
      <c r="C23" s="43">
        <v>0</v>
      </c>
    </row>
    <row r="24" spans="1:3" s="39" customFormat="1" ht="18.75" customHeight="1">
      <c r="A24" s="41">
        <v>30209</v>
      </c>
      <c r="B24" s="41" t="s">
        <v>1344</v>
      </c>
      <c r="C24" s="43">
        <v>82891</v>
      </c>
    </row>
    <row r="25" spans="1:3" s="39" customFormat="1" ht="18.75" customHeight="1">
      <c r="A25" s="41">
        <v>30211</v>
      </c>
      <c r="B25" s="41" t="s">
        <v>1345</v>
      </c>
      <c r="C25" s="43">
        <v>21593</v>
      </c>
    </row>
    <row r="26" spans="1:3" s="39" customFormat="1" ht="18.75" customHeight="1">
      <c r="A26" s="41">
        <v>30212</v>
      </c>
      <c r="B26" s="41" t="s">
        <v>1346</v>
      </c>
      <c r="C26" s="43">
        <v>4035</v>
      </c>
    </row>
    <row r="27" spans="1:3" s="39" customFormat="1" ht="18.75" customHeight="1">
      <c r="A27" s="41">
        <v>30213</v>
      </c>
      <c r="B27" s="41" t="s">
        <v>1347</v>
      </c>
      <c r="C27" s="43">
        <v>202868</v>
      </c>
    </row>
    <row r="28" spans="1:3" s="39" customFormat="1" ht="18.75" customHeight="1">
      <c r="A28" s="41">
        <v>30214</v>
      </c>
      <c r="B28" s="41" t="s">
        <v>1348</v>
      </c>
      <c r="C28" s="43">
        <v>36481</v>
      </c>
    </row>
    <row r="29" spans="1:3" s="39" customFormat="1" ht="18.75" customHeight="1">
      <c r="A29" s="41">
        <v>30215</v>
      </c>
      <c r="B29" s="41" t="s">
        <v>1349</v>
      </c>
      <c r="C29" s="43">
        <v>5085</v>
      </c>
    </row>
    <row r="30" spans="1:3" s="39" customFormat="1" ht="18.75" customHeight="1">
      <c r="A30" s="41">
        <v>30216</v>
      </c>
      <c r="B30" s="41" t="s">
        <v>1350</v>
      </c>
      <c r="C30" s="43">
        <v>18217</v>
      </c>
    </row>
    <row r="31" spans="1:3" s="39" customFormat="1" ht="18.75" customHeight="1">
      <c r="A31" s="41">
        <v>30217</v>
      </c>
      <c r="B31" s="41" t="s">
        <v>1351</v>
      </c>
      <c r="C31" s="43">
        <v>3186</v>
      </c>
    </row>
    <row r="32" spans="1:3" s="39" customFormat="1" ht="18.75" customHeight="1">
      <c r="A32" s="41">
        <v>30218</v>
      </c>
      <c r="B32" s="41" t="s">
        <v>1352</v>
      </c>
      <c r="C32" s="43">
        <v>53302</v>
      </c>
    </row>
    <row r="33" spans="1:3" s="39" customFormat="1" ht="18.75" customHeight="1">
      <c r="A33" s="41">
        <v>30219</v>
      </c>
      <c r="B33" s="41" t="s">
        <v>1353</v>
      </c>
      <c r="C33" s="43">
        <v>21525</v>
      </c>
    </row>
    <row r="34" spans="1:3" s="39" customFormat="1" ht="18.75" customHeight="1">
      <c r="A34" s="41">
        <v>30220</v>
      </c>
      <c r="B34" s="41" t="s">
        <v>1354</v>
      </c>
      <c r="C34" s="43">
        <v>94331</v>
      </c>
    </row>
    <row r="35" spans="1:3" s="39" customFormat="1" ht="18.75" customHeight="1">
      <c r="A35" s="41">
        <v>30221</v>
      </c>
      <c r="B35" s="41" t="s">
        <v>1355</v>
      </c>
      <c r="C35" s="43">
        <v>37</v>
      </c>
    </row>
    <row r="36" spans="1:3" s="39" customFormat="1" ht="18.75" customHeight="1">
      <c r="A36" s="41">
        <v>30222</v>
      </c>
      <c r="B36" s="41" t="s">
        <v>1356</v>
      </c>
      <c r="C36" s="43">
        <v>17</v>
      </c>
    </row>
    <row r="37" spans="1:3" s="39" customFormat="1" ht="18.75" customHeight="1">
      <c r="A37" s="41">
        <v>30223</v>
      </c>
      <c r="B37" s="41" t="s">
        <v>1357</v>
      </c>
      <c r="C37" s="43">
        <v>8222</v>
      </c>
    </row>
    <row r="38" spans="1:3" s="39" customFormat="1" ht="18.75" customHeight="1">
      <c r="A38" s="41">
        <v>30224</v>
      </c>
      <c r="B38" s="41" t="s">
        <v>1358</v>
      </c>
      <c r="C38" s="43">
        <v>3605</v>
      </c>
    </row>
    <row r="39" spans="1:3" s="39" customFormat="1" ht="18.75" customHeight="1">
      <c r="A39" s="41">
        <v>30225</v>
      </c>
      <c r="B39" s="41" t="s">
        <v>1359</v>
      </c>
      <c r="C39" s="43">
        <v>2264</v>
      </c>
    </row>
    <row r="40" spans="1:3" s="39" customFormat="1" ht="18.75" customHeight="1">
      <c r="A40" s="41">
        <v>30226</v>
      </c>
      <c r="B40" s="41" t="s">
        <v>1360</v>
      </c>
      <c r="C40" s="43">
        <v>174953</v>
      </c>
    </row>
    <row r="41" spans="1:3" s="39" customFormat="1" ht="18.75" customHeight="1">
      <c r="A41" s="41">
        <v>30227</v>
      </c>
      <c r="B41" s="41" t="s">
        <v>1361</v>
      </c>
      <c r="C41" s="43">
        <v>694819</v>
      </c>
    </row>
    <row r="42" spans="1:3" s="39" customFormat="1" ht="18.75" customHeight="1">
      <c r="A42" s="41">
        <v>30228</v>
      </c>
      <c r="B42" s="41" t="s">
        <v>1362</v>
      </c>
      <c r="C42" s="43">
        <v>10826</v>
      </c>
    </row>
    <row r="43" spans="1:3" s="39" customFormat="1" ht="18.75" customHeight="1">
      <c r="A43" s="41">
        <v>30229</v>
      </c>
      <c r="B43" s="41" t="s">
        <v>1363</v>
      </c>
      <c r="C43" s="43">
        <v>6254</v>
      </c>
    </row>
    <row r="44" spans="1:3" s="39" customFormat="1" ht="18.75" customHeight="1">
      <c r="A44" s="41">
        <v>30231</v>
      </c>
      <c r="B44" s="41" t="s">
        <v>1364</v>
      </c>
      <c r="C44" s="43">
        <v>19140</v>
      </c>
    </row>
    <row r="45" spans="1:3" s="39" customFormat="1" ht="18.75" customHeight="1">
      <c r="A45" s="41">
        <v>30239</v>
      </c>
      <c r="B45" s="41" t="s">
        <v>1365</v>
      </c>
      <c r="C45" s="43">
        <v>62702</v>
      </c>
    </row>
    <row r="46" spans="1:3" s="39" customFormat="1" ht="18.75" customHeight="1">
      <c r="A46" s="41">
        <v>30240</v>
      </c>
      <c r="B46" s="41" t="s">
        <v>1366</v>
      </c>
      <c r="C46" s="43">
        <v>12632</v>
      </c>
    </row>
    <row r="47" spans="1:3" s="39" customFormat="1" ht="18.75" customHeight="1">
      <c r="A47" s="41">
        <v>30299</v>
      </c>
      <c r="B47" s="41" t="s">
        <v>1367</v>
      </c>
      <c r="C47" s="43">
        <v>602972</v>
      </c>
    </row>
    <row r="48" spans="1:3" s="45" customFormat="1" ht="18.75" customHeight="1">
      <c r="A48" s="150">
        <v>303</v>
      </c>
      <c r="B48" s="150" t="s">
        <v>2135</v>
      </c>
      <c r="C48" s="151">
        <v>715512</v>
      </c>
    </row>
    <row r="49" spans="1:3" s="39" customFormat="1" ht="18.75" customHeight="1">
      <c r="A49" s="41">
        <v>30301</v>
      </c>
      <c r="B49" s="41" t="s">
        <v>1368</v>
      </c>
      <c r="C49" s="43">
        <v>4402</v>
      </c>
    </row>
    <row r="50" spans="1:3" s="39" customFormat="1" ht="18.75" customHeight="1">
      <c r="A50" s="41">
        <v>30302</v>
      </c>
      <c r="B50" s="41" t="s">
        <v>1369</v>
      </c>
      <c r="C50" s="43">
        <v>158913</v>
      </c>
    </row>
    <row r="51" spans="1:3" s="39" customFormat="1" ht="18.75" customHeight="1">
      <c r="A51" s="41">
        <v>30303</v>
      </c>
      <c r="B51" s="41" t="s">
        <v>1370</v>
      </c>
      <c r="C51" s="43">
        <v>170</v>
      </c>
    </row>
    <row r="52" spans="1:3" s="39" customFormat="1" ht="18.75" customHeight="1">
      <c r="A52" s="41">
        <v>30304</v>
      </c>
      <c r="B52" s="41" t="s">
        <v>1371</v>
      </c>
      <c r="C52" s="43">
        <v>1625</v>
      </c>
    </row>
    <row r="53" spans="1:3" s="39" customFormat="1" ht="18.75" customHeight="1">
      <c r="A53" s="41">
        <v>30305</v>
      </c>
      <c r="B53" s="41" t="s">
        <v>1372</v>
      </c>
      <c r="C53" s="43">
        <v>9482</v>
      </c>
    </row>
    <row r="54" spans="1:3" s="39" customFormat="1" ht="18.75" customHeight="1">
      <c r="A54" s="41">
        <v>30306</v>
      </c>
      <c r="B54" s="41" t="s">
        <v>1373</v>
      </c>
      <c r="C54" s="43">
        <v>465</v>
      </c>
    </row>
    <row r="55" spans="1:3" s="39" customFormat="1" ht="18.75" customHeight="1">
      <c r="A55" s="41">
        <v>30307</v>
      </c>
      <c r="B55" s="41" t="s">
        <v>1374</v>
      </c>
      <c r="C55" s="43">
        <v>68846</v>
      </c>
    </row>
    <row r="56" spans="1:3" s="39" customFormat="1" ht="18.75" customHeight="1">
      <c r="A56" s="41">
        <v>30308</v>
      </c>
      <c r="B56" s="41" t="s">
        <v>1375</v>
      </c>
      <c r="C56" s="43">
        <v>18912</v>
      </c>
    </row>
    <row r="57" spans="1:3" s="39" customFormat="1" ht="18.75" customHeight="1">
      <c r="A57" s="41">
        <v>30309</v>
      </c>
      <c r="B57" s="41" t="s">
        <v>1376</v>
      </c>
      <c r="C57" s="43">
        <v>128699</v>
      </c>
    </row>
    <row r="58" spans="1:3" s="39" customFormat="1" ht="18.75" customHeight="1">
      <c r="A58" s="41">
        <v>30310</v>
      </c>
      <c r="B58" s="41" t="s">
        <v>1377</v>
      </c>
      <c r="C58" s="43">
        <v>245</v>
      </c>
    </row>
    <row r="59" spans="1:3" s="39" customFormat="1" ht="18.75" customHeight="1">
      <c r="A59" s="41">
        <v>30311</v>
      </c>
      <c r="B59" s="41" t="s">
        <v>1378</v>
      </c>
      <c r="C59" s="43">
        <v>71382</v>
      </c>
    </row>
    <row r="60" spans="1:3" s="39" customFormat="1" ht="18.75" customHeight="1">
      <c r="A60" s="41">
        <v>30312</v>
      </c>
      <c r="B60" s="41" t="s">
        <v>1379</v>
      </c>
      <c r="C60" s="43">
        <v>0</v>
      </c>
    </row>
    <row r="61" spans="1:3" s="39" customFormat="1" ht="18.75" customHeight="1">
      <c r="A61" s="41">
        <v>30313</v>
      </c>
      <c r="B61" s="41" t="s">
        <v>1380</v>
      </c>
      <c r="C61" s="43">
        <v>160350</v>
      </c>
    </row>
    <row r="62" spans="1:3" s="39" customFormat="1" ht="18.75" customHeight="1">
      <c r="A62" s="41">
        <v>30399</v>
      </c>
      <c r="B62" s="41" t="s">
        <v>1381</v>
      </c>
      <c r="C62" s="43">
        <v>92021</v>
      </c>
    </row>
    <row r="63" spans="1:3" s="45" customFormat="1" ht="18.75" customHeight="1">
      <c r="A63" s="150">
        <v>304</v>
      </c>
      <c r="B63" s="150" t="s">
        <v>1382</v>
      </c>
      <c r="C63" s="151">
        <v>3389527</v>
      </c>
    </row>
    <row r="64" spans="1:3" s="39" customFormat="1" ht="18.75" customHeight="1">
      <c r="A64" s="41">
        <v>30401</v>
      </c>
      <c r="B64" s="41" t="s">
        <v>1383</v>
      </c>
      <c r="C64" s="43">
        <v>2593719</v>
      </c>
    </row>
    <row r="65" spans="1:3" s="39" customFormat="1" ht="18.75" customHeight="1">
      <c r="A65" s="41">
        <v>30402</v>
      </c>
      <c r="B65" s="41" t="s">
        <v>1384</v>
      </c>
      <c r="C65" s="43">
        <v>81141</v>
      </c>
    </row>
    <row r="66" spans="1:3" s="39" customFormat="1" ht="18.75" customHeight="1">
      <c r="A66" s="41">
        <v>30403</v>
      </c>
      <c r="B66" s="41" t="s">
        <v>1385</v>
      </c>
      <c r="C66" s="43">
        <v>5702</v>
      </c>
    </row>
    <row r="67" spans="1:3" s="39" customFormat="1" ht="18.75" customHeight="1">
      <c r="A67" s="41">
        <v>30499</v>
      </c>
      <c r="B67" s="41" t="s">
        <v>1386</v>
      </c>
      <c r="C67" s="43">
        <v>708965</v>
      </c>
    </row>
    <row r="68" spans="1:3" s="45" customFormat="1" ht="18.75" customHeight="1">
      <c r="A68" s="150">
        <v>305</v>
      </c>
      <c r="B68" s="150" t="s">
        <v>1105</v>
      </c>
      <c r="C68" s="151">
        <v>80</v>
      </c>
    </row>
    <row r="69" spans="1:3" s="39" customFormat="1" ht="18.75" customHeight="1">
      <c r="A69" s="41">
        <v>30501</v>
      </c>
      <c r="B69" s="41" t="s">
        <v>1387</v>
      </c>
      <c r="C69" s="43">
        <v>80</v>
      </c>
    </row>
    <row r="70" spans="1:3" s="39" customFormat="1" ht="18.75" customHeight="1">
      <c r="A70" s="41">
        <v>30502</v>
      </c>
      <c r="B70" s="41" t="s">
        <v>1388</v>
      </c>
      <c r="C70" s="43">
        <v>0</v>
      </c>
    </row>
    <row r="71" spans="1:3" s="45" customFormat="1" ht="18.75" customHeight="1">
      <c r="A71" s="150">
        <v>307</v>
      </c>
      <c r="B71" s="150" t="s">
        <v>1389</v>
      </c>
      <c r="C71" s="151">
        <v>1763</v>
      </c>
    </row>
    <row r="72" spans="1:3" s="39" customFormat="1" ht="18.75" customHeight="1">
      <c r="A72" s="41">
        <v>30701</v>
      </c>
      <c r="B72" s="41" t="s">
        <v>914</v>
      </c>
      <c r="C72" s="43">
        <v>1763</v>
      </c>
    </row>
    <row r="73" spans="1:3" s="39" customFormat="1" ht="18.75" customHeight="1">
      <c r="A73" s="41">
        <v>30707</v>
      </c>
      <c r="B73" s="41" t="s">
        <v>915</v>
      </c>
      <c r="C73" s="43">
        <v>0</v>
      </c>
    </row>
    <row r="74" spans="1:3" s="45" customFormat="1" ht="18.75" customHeight="1">
      <c r="A74" s="150">
        <v>309</v>
      </c>
      <c r="B74" s="150" t="s">
        <v>1390</v>
      </c>
      <c r="C74" s="151">
        <v>9107889</v>
      </c>
    </row>
    <row r="75" spans="1:3" s="39" customFormat="1" ht="18.75" customHeight="1">
      <c r="A75" s="41">
        <v>30901</v>
      </c>
      <c r="B75" s="41" t="s">
        <v>1391</v>
      </c>
      <c r="C75" s="43">
        <v>49555</v>
      </c>
    </row>
    <row r="76" spans="1:3" s="39" customFormat="1" ht="18.75" customHeight="1">
      <c r="A76" s="41">
        <v>30902</v>
      </c>
      <c r="B76" s="41" t="s">
        <v>1392</v>
      </c>
      <c r="C76" s="43">
        <v>4378</v>
      </c>
    </row>
    <row r="77" spans="1:3" s="39" customFormat="1" ht="18.75" customHeight="1">
      <c r="A77" s="41">
        <v>30903</v>
      </c>
      <c r="B77" s="41" t="s">
        <v>1393</v>
      </c>
      <c r="C77" s="43">
        <v>39631</v>
      </c>
    </row>
    <row r="78" spans="1:3" s="39" customFormat="1" ht="18.75" customHeight="1">
      <c r="A78" s="41">
        <v>30905</v>
      </c>
      <c r="B78" s="41" t="s">
        <v>1394</v>
      </c>
      <c r="C78" s="43">
        <v>567888</v>
      </c>
    </row>
    <row r="79" spans="1:3" s="39" customFormat="1" ht="18.75" customHeight="1">
      <c r="A79" s="41">
        <v>30906</v>
      </c>
      <c r="B79" s="41" t="s">
        <v>1395</v>
      </c>
      <c r="C79" s="43">
        <v>3906</v>
      </c>
    </row>
    <row r="80" spans="1:3" s="39" customFormat="1" ht="18.75" customHeight="1">
      <c r="A80" s="41">
        <v>30907</v>
      </c>
      <c r="B80" s="41" t="s">
        <v>1396</v>
      </c>
      <c r="C80" s="43">
        <v>1023</v>
      </c>
    </row>
    <row r="81" spans="1:3" s="39" customFormat="1" ht="18.75" customHeight="1">
      <c r="A81" s="41">
        <v>30908</v>
      </c>
      <c r="B81" s="41" t="s">
        <v>1397</v>
      </c>
      <c r="C81" s="43">
        <v>714</v>
      </c>
    </row>
    <row r="82" spans="1:3" s="39" customFormat="1" ht="18.75" customHeight="1">
      <c r="A82" s="41">
        <v>30913</v>
      </c>
      <c r="B82" s="41" t="s">
        <v>1398</v>
      </c>
      <c r="C82" s="43">
        <v>167</v>
      </c>
    </row>
    <row r="83" spans="1:3" s="39" customFormat="1" ht="18.75" customHeight="1">
      <c r="A83" s="41">
        <v>30919</v>
      </c>
      <c r="B83" s="41" t="s">
        <v>1399</v>
      </c>
      <c r="C83" s="43">
        <v>119</v>
      </c>
    </row>
    <row r="84" spans="1:3" s="39" customFormat="1" ht="18.75" customHeight="1">
      <c r="A84" s="41">
        <v>30999</v>
      </c>
      <c r="B84" s="41" t="s">
        <v>1400</v>
      </c>
      <c r="C84" s="43">
        <v>8440508</v>
      </c>
    </row>
    <row r="85" spans="1:3" s="45" customFormat="1" ht="18.75" customHeight="1">
      <c r="A85" s="150">
        <v>310</v>
      </c>
      <c r="B85" s="150" t="s">
        <v>1401</v>
      </c>
      <c r="C85" s="151">
        <v>3652289</v>
      </c>
    </row>
    <row r="86" spans="1:3" s="39" customFormat="1" ht="18.75" customHeight="1">
      <c r="A86" s="41">
        <v>31001</v>
      </c>
      <c r="B86" s="41" t="s">
        <v>1391</v>
      </c>
      <c r="C86" s="43">
        <v>329</v>
      </c>
    </row>
    <row r="87" spans="1:3" s="39" customFormat="1" ht="18.75" customHeight="1">
      <c r="A87" s="41">
        <v>31002</v>
      </c>
      <c r="B87" s="41" t="s">
        <v>1392</v>
      </c>
      <c r="C87" s="43">
        <v>27433</v>
      </c>
    </row>
    <row r="88" spans="1:3" s="39" customFormat="1" ht="18.75" customHeight="1">
      <c r="A88" s="41">
        <v>31003</v>
      </c>
      <c r="B88" s="41" t="s">
        <v>1393</v>
      </c>
      <c r="C88" s="43">
        <v>87682</v>
      </c>
    </row>
    <row r="89" spans="1:3" s="39" customFormat="1" ht="18.75" customHeight="1">
      <c r="A89" s="41">
        <v>31005</v>
      </c>
      <c r="B89" s="41" t="s">
        <v>1394</v>
      </c>
      <c r="C89" s="43">
        <v>901</v>
      </c>
    </row>
    <row r="90" spans="1:3" s="39" customFormat="1" ht="18.75" customHeight="1">
      <c r="A90" s="41">
        <v>31006</v>
      </c>
      <c r="B90" s="41" t="s">
        <v>1395</v>
      </c>
      <c r="C90" s="43">
        <v>5859</v>
      </c>
    </row>
    <row r="91" spans="1:3" s="39" customFormat="1" ht="18.75" customHeight="1">
      <c r="A91" s="41">
        <v>31007</v>
      </c>
      <c r="B91" s="41" t="s">
        <v>1396</v>
      </c>
      <c r="C91" s="43">
        <v>7134</v>
      </c>
    </row>
    <row r="92" spans="1:3" s="39" customFormat="1" ht="18.75" customHeight="1">
      <c r="A92" s="41">
        <v>31008</v>
      </c>
      <c r="B92" s="41" t="s">
        <v>1397</v>
      </c>
      <c r="C92" s="43">
        <v>625</v>
      </c>
    </row>
    <row r="93" spans="1:3" s="39" customFormat="1" ht="18.75" customHeight="1">
      <c r="A93" s="41">
        <v>31009</v>
      </c>
      <c r="B93" s="41" t="s">
        <v>1402</v>
      </c>
      <c r="C93" s="43">
        <v>0</v>
      </c>
    </row>
    <row r="94" spans="1:3" s="39" customFormat="1" ht="18.75" customHeight="1">
      <c r="A94" s="41">
        <v>31010</v>
      </c>
      <c r="B94" s="41" t="s">
        <v>1403</v>
      </c>
      <c r="C94" s="43">
        <v>0</v>
      </c>
    </row>
    <row r="95" spans="1:3" s="39" customFormat="1" ht="18.75" customHeight="1">
      <c r="A95" s="41">
        <v>31011</v>
      </c>
      <c r="B95" s="41" t="s">
        <v>1404</v>
      </c>
      <c r="C95" s="43">
        <v>0</v>
      </c>
    </row>
    <row r="96" spans="1:3" s="39" customFormat="1" ht="18.75" customHeight="1">
      <c r="A96" s="41">
        <v>31012</v>
      </c>
      <c r="B96" s="41" t="s">
        <v>1405</v>
      </c>
      <c r="C96" s="43">
        <v>0</v>
      </c>
    </row>
    <row r="97" spans="1:3" s="39" customFormat="1" ht="18.75" customHeight="1">
      <c r="A97" s="41">
        <v>31013</v>
      </c>
      <c r="B97" s="41" t="s">
        <v>1398</v>
      </c>
      <c r="C97" s="43">
        <v>817</v>
      </c>
    </row>
    <row r="98" spans="1:3" s="39" customFormat="1" ht="18.75" customHeight="1">
      <c r="A98" s="41">
        <v>31019</v>
      </c>
      <c r="B98" s="41" t="s">
        <v>1399</v>
      </c>
      <c r="C98" s="43">
        <v>192</v>
      </c>
    </row>
    <row r="99" spans="1:3" s="39" customFormat="1" ht="18.75" customHeight="1">
      <c r="A99" s="41">
        <v>31020</v>
      </c>
      <c r="B99" s="41" t="s">
        <v>1406</v>
      </c>
      <c r="C99" s="43">
        <v>74500</v>
      </c>
    </row>
    <row r="100" spans="1:3" s="39" customFormat="1" ht="18.75" customHeight="1">
      <c r="A100" s="41">
        <v>31099</v>
      </c>
      <c r="B100" s="41" t="s">
        <v>1407</v>
      </c>
      <c r="C100" s="43">
        <v>3446817</v>
      </c>
    </row>
    <row r="101" spans="1:3" s="45" customFormat="1" ht="18.75" customHeight="1">
      <c r="A101" s="150">
        <v>399</v>
      </c>
      <c r="B101" s="150" t="s">
        <v>1408</v>
      </c>
      <c r="C101" s="151">
        <v>1794942</v>
      </c>
    </row>
    <row r="102" spans="1:3" s="39" customFormat="1" ht="18.75" customHeight="1">
      <c r="A102" s="41">
        <v>39901</v>
      </c>
      <c r="B102" s="41" t="s">
        <v>1409</v>
      </c>
      <c r="C102" s="43">
        <v>3</v>
      </c>
    </row>
    <row r="103" spans="1:3" s="39" customFormat="1" ht="18.75" customHeight="1">
      <c r="A103" s="41">
        <v>39902</v>
      </c>
      <c r="B103" s="41" t="s">
        <v>1410</v>
      </c>
      <c r="C103" s="43">
        <v>0</v>
      </c>
    </row>
    <row r="104" spans="1:3" s="39" customFormat="1" ht="18.75" customHeight="1">
      <c r="A104" s="41">
        <v>39903</v>
      </c>
      <c r="B104" s="41" t="s">
        <v>282</v>
      </c>
      <c r="C104" s="43">
        <v>0</v>
      </c>
    </row>
    <row r="105" spans="1:3" s="39" customFormat="1" ht="18.75" customHeight="1">
      <c r="A105" s="41">
        <v>39906</v>
      </c>
      <c r="B105" s="41" t="s">
        <v>1411</v>
      </c>
      <c r="C105" s="43">
        <v>1412</v>
      </c>
    </row>
    <row r="106" spans="1:3" s="39" customFormat="1" ht="18.75" customHeight="1">
      <c r="A106" s="41">
        <v>39907</v>
      </c>
      <c r="B106" s="41" t="s">
        <v>1412</v>
      </c>
      <c r="C106" s="43">
        <v>28000</v>
      </c>
    </row>
    <row r="107" spans="1:3" s="39" customFormat="1" ht="18.75" customHeight="1">
      <c r="A107" s="42">
        <v>39999</v>
      </c>
      <c r="B107" s="41" t="s">
        <v>786</v>
      </c>
      <c r="C107" s="43">
        <v>1765527</v>
      </c>
    </row>
    <row r="108" spans="1:3" s="45" customFormat="1" ht="24.75" customHeight="1">
      <c r="A108" s="678" t="s">
        <v>1098</v>
      </c>
      <c r="B108" s="678"/>
      <c r="C108" s="44">
        <v>22340358</v>
      </c>
    </row>
    <row r="109" spans="1:3" s="39" customFormat="1" ht="22.5" customHeight="1">
      <c r="A109" s="633"/>
    </row>
  </sheetData>
  <mergeCells count="6">
    <mergeCell ref="A108:B108"/>
    <mergeCell ref="A1:C1"/>
    <mergeCell ref="A2:C2"/>
    <mergeCell ref="A3:A5"/>
    <mergeCell ref="B3:B5"/>
    <mergeCell ref="C3:C5"/>
  </mergeCells>
  <phoneticPr fontId="59" type="noConversion"/>
  <printOptions horizontalCentered="1" gridLines="1"/>
  <pageMargins left="0.6692913385826772" right="0.51181102362204722" top="0.78740157480314965" bottom="0.98425196850393704" header="0" footer="0"/>
  <pageSetup paperSize="9" orientation="portrait" blackAndWhite="1" r:id="rId1"/>
  <headerFooter scaleWithDoc="0" alignWithMargins="0">
    <oddFooter>第 &amp;P 页，共 &amp;N 页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A3" sqref="A1:XFD1048576"/>
    </sheetView>
  </sheetViews>
  <sheetFormatPr defaultRowHeight="12"/>
  <cols>
    <col min="1" max="1" width="5.5" style="368" customWidth="1"/>
    <col min="2" max="2" width="81.875" style="368" customWidth="1"/>
    <col min="3" max="3" width="13.875" style="368" customWidth="1"/>
    <col min="4" max="256" width="9" style="368"/>
    <col min="257" max="257" width="5.5" style="368" customWidth="1"/>
    <col min="258" max="258" width="81.875" style="368" customWidth="1"/>
    <col min="259" max="259" width="13.875" style="368" customWidth="1"/>
    <col min="260" max="512" width="9" style="368"/>
    <col min="513" max="513" width="5.5" style="368" customWidth="1"/>
    <col min="514" max="514" width="81.875" style="368" customWidth="1"/>
    <col min="515" max="515" width="13.875" style="368" customWidth="1"/>
    <col min="516" max="768" width="9" style="368"/>
    <col min="769" max="769" width="5.5" style="368" customWidth="1"/>
    <col min="770" max="770" width="81.875" style="368" customWidth="1"/>
    <col min="771" max="771" width="13.875" style="368" customWidth="1"/>
    <col min="772" max="1024" width="9" style="368"/>
    <col min="1025" max="1025" width="5.5" style="368" customWidth="1"/>
    <col min="1026" max="1026" width="81.875" style="368" customWidth="1"/>
    <col min="1027" max="1027" width="13.875" style="368" customWidth="1"/>
    <col min="1028" max="1280" width="9" style="368"/>
    <col min="1281" max="1281" width="5.5" style="368" customWidth="1"/>
    <col min="1282" max="1282" width="81.875" style="368" customWidth="1"/>
    <col min="1283" max="1283" width="13.875" style="368" customWidth="1"/>
    <col min="1284" max="1536" width="9" style="368"/>
    <col min="1537" max="1537" width="5.5" style="368" customWidth="1"/>
    <col min="1538" max="1538" width="81.875" style="368" customWidth="1"/>
    <col min="1539" max="1539" width="13.875" style="368" customWidth="1"/>
    <col min="1540" max="1792" width="9" style="368"/>
    <col min="1793" max="1793" width="5.5" style="368" customWidth="1"/>
    <col min="1794" max="1794" width="81.875" style="368" customWidth="1"/>
    <col min="1795" max="1795" width="13.875" style="368" customWidth="1"/>
    <col min="1796" max="2048" width="9" style="368"/>
    <col min="2049" max="2049" width="5.5" style="368" customWidth="1"/>
    <col min="2050" max="2050" width="81.875" style="368" customWidth="1"/>
    <col min="2051" max="2051" width="13.875" style="368" customWidth="1"/>
    <col min="2052" max="2304" width="9" style="368"/>
    <col min="2305" max="2305" width="5.5" style="368" customWidth="1"/>
    <col min="2306" max="2306" width="81.875" style="368" customWidth="1"/>
    <col min="2307" max="2307" width="13.875" style="368" customWidth="1"/>
    <col min="2308" max="2560" width="9" style="368"/>
    <col min="2561" max="2561" width="5.5" style="368" customWidth="1"/>
    <col min="2562" max="2562" width="81.875" style="368" customWidth="1"/>
    <col min="2563" max="2563" width="13.875" style="368" customWidth="1"/>
    <col min="2564" max="2816" width="9" style="368"/>
    <col min="2817" max="2817" width="5.5" style="368" customWidth="1"/>
    <col min="2818" max="2818" width="81.875" style="368" customWidth="1"/>
    <col min="2819" max="2819" width="13.875" style="368" customWidth="1"/>
    <col min="2820" max="3072" width="9" style="368"/>
    <col min="3073" max="3073" width="5.5" style="368" customWidth="1"/>
    <col min="3074" max="3074" width="81.875" style="368" customWidth="1"/>
    <col min="3075" max="3075" width="13.875" style="368" customWidth="1"/>
    <col min="3076" max="3328" width="9" style="368"/>
    <col min="3329" max="3329" width="5.5" style="368" customWidth="1"/>
    <col min="3330" max="3330" width="81.875" style="368" customWidth="1"/>
    <col min="3331" max="3331" width="13.875" style="368" customWidth="1"/>
    <col min="3332" max="3584" width="9" style="368"/>
    <col min="3585" max="3585" width="5.5" style="368" customWidth="1"/>
    <col min="3586" max="3586" width="81.875" style="368" customWidth="1"/>
    <col min="3587" max="3587" width="13.875" style="368" customWidth="1"/>
    <col min="3588" max="3840" width="9" style="368"/>
    <col min="3841" max="3841" width="5.5" style="368" customWidth="1"/>
    <col min="3842" max="3842" width="81.875" style="368" customWidth="1"/>
    <col min="3843" max="3843" width="13.875" style="368" customWidth="1"/>
    <col min="3844" max="4096" width="9" style="368"/>
    <col min="4097" max="4097" width="5.5" style="368" customWidth="1"/>
    <col min="4098" max="4098" width="81.875" style="368" customWidth="1"/>
    <col min="4099" max="4099" width="13.875" style="368" customWidth="1"/>
    <col min="4100" max="4352" width="9" style="368"/>
    <col min="4353" max="4353" width="5.5" style="368" customWidth="1"/>
    <col min="4354" max="4354" width="81.875" style="368" customWidth="1"/>
    <col min="4355" max="4355" width="13.875" style="368" customWidth="1"/>
    <col min="4356" max="4608" width="9" style="368"/>
    <col min="4609" max="4609" width="5.5" style="368" customWidth="1"/>
    <col min="4610" max="4610" width="81.875" style="368" customWidth="1"/>
    <col min="4611" max="4611" width="13.875" style="368" customWidth="1"/>
    <col min="4612" max="4864" width="9" style="368"/>
    <col min="4865" max="4865" width="5.5" style="368" customWidth="1"/>
    <col min="4866" max="4866" width="81.875" style="368" customWidth="1"/>
    <col min="4867" max="4867" width="13.875" style="368" customWidth="1"/>
    <col min="4868" max="5120" width="9" style="368"/>
    <col min="5121" max="5121" width="5.5" style="368" customWidth="1"/>
    <col min="5122" max="5122" width="81.875" style="368" customWidth="1"/>
    <col min="5123" max="5123" width="13.875" style="368" customWidth="1"/>
    <col min="5124" max="5376" width="9" style="368"/>
    <col min="5377" max="5377" width="5.5" style="368" customWidth="1"/>
    <col min="5378" max="5378" width="81.875" style="368" customWidth="1"/>
    <col min="5379" max="5379" width="13.875" style="368" customWidth="1"/>
    <col min="5380" max="5632" width="9" style="368"/>
    <col min="5633" max="5633" width="5.5" style="368" customWidth="1"/>
    <col min="5634" max="5634" width="81.875" style="368" customWidth="1"/>
    <col min="5635" max="5635" width="13.875" style="368" customWidth="1"/>
    <col min="5636" max="5888" width="9" style="368"/>
    <col min="5889" max="5889" width="5.5" style="368" customWidth="1"/>
    <col min="5890" max="5890" width="81.875" style="368" customWidth="1"/>
    <col min="5891" max="5891" width="13.875" style="368" customWidth="1"/>
    <col min="5892" max="6144" width="9" style="368"/>
    <col min="6145" max="6145" width="5.5" style="368" customWidth="1"/>
    <col min="6146" max="6146" width="81.875" style="368" customWidth="1"/>
    <col min="6147" max="6147" width="13.875" style="368" customWidth="1"/>
    <col min="6148" max="6400" width="9" style="368"/>
    <col min="6401" max="6401" width="5.5" style="368" customWidth="1"/>
    <col min="6402" max="6402" width="81.875" style="368" customWidth="1"/>
    <col min="6403" max="6403" width="13.875" style="368" customWidth="1"/>
    <col min="6404" max="6656" width="9" style="368"/>
    <col min="6657" max="6657" width="5.5" style="368" customWidth="1"/>
    <col min="6658" max="6658" width="81.875" style="368" customWidth="1"/>
    <col min="6659" max="6659" width="13.875" style="368" customWidth="1"/>
    <col min="6660" max="6912" width="9" style="368"/>
    <col min="6913" max="6913" width="5.5" style="368" customWidth="1"/>
    <col min="6914" max="6914" width="81.875" style="368" customWidth="1"/>
    <col min="6915" max="6915" width="13.875" style="368" customWidth="1"/>
    <col min="6916" max="7168" width="9" style="368"/>
    <col min="7169" max="7169" width="5.5" style="368" customWidth="1"/>
    <col min="7170" max="7170" width="81.875" style="368" customWidth="1"/>
    <col min="7171" max="7171" width="13.875" style="368" customWidth="1"/>
    <col min="7172" max="7424" width="9" style="368"/>
    <col min="7425" max="7425" width="5.5" style="368" customWidth="1"/>
    <col min="7426" max="7426" width="81.875" style="368" customWidth="1"/>
    <col min="7427" max="7427" width="13.875" style="368" customWidth="1"/>
    <col min="7428" max="7680" width="9" style="368"/>
    <col min="7681" max="7681" width="5.5" style="368" customWidth="1"/>
    <col min="7682" max="7682" width="81.875" style="368" customWidth="1"/>
    <col min="7683" max="7683" width="13.875" style="368" customWidth="1"/>
    <col min="7684" max="7936" width="9" style="368"/>
    <col min="7937" max="7937" width="5.5" style="368" customWidth="1"/>
    <col min="7938" max="7938" width="81.875" style="368" customWidth="1"/>
    <col min="7939" max="7939" width="13.875" style="368" customWidth="1"/>
    <col min="7940" max="8192" width="9" style="368"/>
    <col min="8193" max="8193" width="5.5" style="368" customWidth="1"/>
    <col min="8194" max="8194" width="81.875" style="368" customWidth="1"/>
    <col min="8195" max="8195" width="13.875" style="368" customWidth="1"/>
    <col min="8196" max="8448" width="9" style="368"/>
    <col min="8449" max="8449" width="5.5" style="368" customWidth="1"/>
    <col min="8450" max="8450" width="81.875" style="368" customWidth="1"/>
    <col min="8451" max="8451" width="13.875" style="368" customWidth="1"/>
    <col min="8452" max="8704" width="9" style="368"/>
    <col min="8705" max="8705" width="5.5" style="368" customWidth="1"/>
    <col min="8706" max="8706" width="81.875" style="368" customWidth="1"/>
    <col min="8707" max="8707" width="13.875" style="368" customWidth="1"/>
    <col min="8708" max="8960" width="9" style="368"/>
    <col min="8961" max="8961" width="5.5" style="368" customWidth="1"/>
    <col min="8962" max="8962" width="81.875" style="368" customWidth="1"/>
    <col min="8963" max="8963" width="13.875" style="368" customWidth="1"/>
    <col min="8964" max="9216" width="9" style="368"/>
    <col min="9217" max="9217" width="5.5" style="368" customWidth="1"/>
    <col min="9218" max="9218" width="81.875" style="368" customWidth="1"/>
    <col min="9219" max="9219" width="13.875" style="368" customWidth="1"/>
    <col min="9220" max="9472" width="9" style="368"/>
    <col min="9473" max="9473" width="5.5" style="368" customWidth="1"/>
    <col min="9474" max="9474" width="81.875" style="368" customWidth="1"/>
    <col min="9475" max="9475" width="13.875" style="368" customWidth="1"/>
    <col min="9476" max="9728" width="9" style="368"/>
    <col min="9729" max="9729" width="5.5" style="368" customWidth="1"/>
    <col min="9730" max="9730" width="81.875" style="368" customWidth="1"/>
    <col min="9731" max="9731" width="13.875" style="368" customWidth="1"/>
    <col min="9732" max="9984" width="9" style="368"/>
    <col min="9985" max="9985" width="5.5" style="368" customWidth="1"/>
    <col min="9986" max="9986" width="81.875" style="368" customWidth="1"/>
    <col min="9987" max="9987" width="13.875" style="368" customWidth="1"/>
    <col min="9988" max="10240" width="9" style="368"/>
    <col min="10241" max="10241" width="5.5" style="368" customWidth="1"/>
    <col min="10242" max="10242" width="81.875" style="368" customWidth="1"/>
    <col min="10243" max="10243" width="13.875" style="368" customWidth="1"/>
    <col min="10244" max="10496" width="9" style="368"/>
    <col min="10497" max="10497" width="5.5" style="368" customWidth="1"/>
    <col min="10498" max="10498" width="81.875" style="368" customWidth="1"/>
    <col min="10499" max="10499" width="13.875" style="368" customWidth="1"/>
    <col min="10500" max="10752" width="9" style="368"/>
    <col min="10753" max="10753" width="5.5" style="368" customWidth="1"/>
    <col min="10754" max="10754" width="81.875" style="368" customWidth="1"/>
    <col min="10755" max="10755" width="13.875" style="368" customWidth="1"/>
    <col min="10756" max="11008" width="9" style="368"/>
    <col min="11009" max="11009" width="5.5" style="368" customWidth="1"/>
    <col min="11010" max="11010" width="81.875" style="368" customWidth="1"/>
    <col min="11011" max="11011" width="13.875" style="368" customWidth="1"/>
    <col min="11012" max="11264" width="9" style="368"/>
    <col min="11265" max="11265" width="5.5" style="368" customWidth="1"/>
    <col min="11266" max="11266" width="81.875" style="368" customWidth="1"/>
    <col min="11267" max="11267" width="13.875" style="368" customWidth="1"/>
    <col min="11268" max="11520" width="9" style="368"/>
    <col min="11521" max="11521" width="5.5" style="368" customWidth="1"/>
    <col min="11522" max="11522" width="81.875" style="368" customWidth="1"/>
    <col min="11523" max="11523" width="13.875" style="368" customWidth="1"/>
    <col min="11524" max="11776" width="9" style="368"/>
    <col min="11777" max="11777" width="5.5" style="368" customWidth="1"/>
    <col min="11778" max="11778" width="81.875" style="368" customWidth="1"/>
    <col min="11779" max="11779" width="13.875" style="368" customWidth="1"/>
    <col min="11780" max="12032" width="9" style="368"/>
    <col min="12033" max="12033" width="5.5" style="368" customWidth="1"/>
    <col min="12034" max="12034" width="81.875" style="368" customWidth="1"/>
    <col min="12035" max="12035" width="13.875" style="368" customWidth="1"/>
    <col min="12036" max="12288" width="9" style="368"/>
    <col min="12289" max="12289" width="5.5" style="368" customWidth="1"/>
    <col min="12290" max="12290" width="81.875" style="368" customWidth="1"/>
    <col min="12291" max="12291" width="13.875" style="368" customWidth="1"/>
    <col min="12292" max="12544" width="9" style="368"/>
    <col min="12545" max="12545" width="5.5" style="368" customWidth="1"/>
    <col min="12546" max="12546" width="81.875" style="368" customWidth="1"/>
    <col min="12547" max="12547" width="13.875" style="368" customWidth="1"/>
    <col min="12548" max="12800" width="9" style="368"/>
    <col min="12801" max="12801" width="5.5" style="368" customWidth="1"/>
    <col min="12802" max="12802" width="81.875" style="368" customWidth="1"/>
    <col min="12803" max="12803" width="13.875" style="368" customWidth="1"/>
    <col min="12804" max="13056" width="9" style="368"/>
    <col min="13057" max="13057" width="5.5" style="368" customWidth="1"/>
    <col min="13058" max="13058" width="81.875" style="368" customWidth="1"/>
    <col min="13059" max="13059" width="13.875" style="368" customWidth="1"/>
    <col min="13060" max="13312" width="9" style="368"/>
    <col min="13313" max="13313" width="5.5" style="368" customWidth="1"/>
    <col min="13314" max="13314" width="81.875" style="368" customWidth="1"/>
    <col min="13315" max="13315" width="13.875" style="368" customWidth="1"/>
    <col min="13316" max="13568" width="9" style="368"/>
    <col min="13569" max="13569" width="5.5" style="368" customWidth="1"/>
    <col min="13570" max="13570" width="81.875" style="368" customWidth="1"/>
    <col min="13571" max="13571" width="13.875" style="368" customWidth="1"/>
    <col min="13572" max="13824" width="9" style="368"/>
    <col min="13825" max="13825" width="5.5" style="368" customWidth="1"/>
    <col min="13826" max="13826" width="81.875" style="368" customWidth="1"/>
    <col min="13827" max="13827" width="13.875" style="368" customWidth="1"/>
    <col min="13828" max="14080" width="9" style="368"/>
    <col min="14081" max="14081" width="5.5" style="368" customWidth="1"/>
    <col min="14082" max="14082" width="81.875" style="368" customWidth="1"/>
    <col min="14083" max="14083" width="13.875" style="368" customWidth="1"/>
    <col min="14084" max="14336" width="9" style="368"/>
    <col min="14337" max="14337" width="5.5" style="368" customWidth="1"/>
    <col min="14338" max="14338" width="81.875" style="368" customWidth="1"/>
    <col min="14339" max="14339" width="13.875" style="368" customWidth="1"/>
    <col min="14340" max="14592" width="9" style="368"/>
    <col min="14593" max="14593" width="5.5" style="368" customWidth="1"/>
    <col min="14594" max="14594" width="81.875" style="368" customWidth="1"/>
    <col min="14595" max="14595" width="13.875" style="368" customWidth="1"/>
    <col min="14596" max="14848" width="9" style="368"/>
    <col min="14849" max="14849" width="5.5" style="368" customWidth="1"/>
    <col min="14850" max="14850" width="81.875" style="368" customWidth="1"/>
    <col min="14851" max="14851" width="13.875" style="368" customWidth="1"/>
    <col min="14852" max="15104" width="9" style="368"/>
    <col min="15105" max="15105" width="5.5" style="368" customWidth="1"/>
    <col min="15106" max="15106" width="81.875" style="368" customWidth="1"/>
    <col min="15107" max="15107" width="13.875" style="368" customWidth="1"/>
    <col min="15108" max="15360" width="9" style="368"/>
    <col min="15361" max="15361" width="5.5" style="368" customWidth="1"/>
    <col min="15362" max="15362" width="81.875" style="368" customWidth="1"/>
    <col min="15363" max="15363" width="13.875" style="368" customWidth="1"/>
    <col min="15364" max="15616" width="9" style="368"/>
    <col min="15617" max="15617" width="5.5" style="368" customWidth="1"/>
    <col min="15618" max="15618" width="81.875" style="368" customWidth="1"/>
    <col min="15619" max="15619" width="13.875" style="368" customWidth="1"/>
    <col min="15620" max="15872" width="9" style="368"/>
    <col min="15873" max="15873" width="5.5" style="368" customWidth="1"/>
    <col min="15874" max="15874" width="81.875" style="368" customWidth="1"/>
    <col min="15875" max="15875" width="13.875" style="368" customWidth="1"/>
    <col min="15876" max="16128" width="9" style="368"/>
    <col min="16129" max="16129" width="5.5" style="368" customWidth="1"/>
    <col min="16130" max="16130" width="81.875" style="368" customWidth="1"/>
    <col min="16131" max="16131" width="13.875" style="368" customWidth="1"/>
    <col min="16132" max="16384" width="9" style="368"/>
  </cols>
  <sheetData>
    <row r="1" spans="1:3" s="323" customFormat="1" ht="48" customHeight="1"/>
    <row r="2" spans="1:3" s="323" customFormat="1" ht="36.75">
      <c r="A2" s="722" t="s">
        <v>2012</v>
      </c>
      <c r="B2" s="722"/>
      <c r="C2" s="722"/>
    </row>
    <row r="3" spans="1:3" s="323" customFormat="1" ht="42.75" customHeight="1">
      <c r="A3" s="194"/>
      <c r="B3" s="194"/>
      <c r="C3" s="194"/>
    </row>
    <row r="4" spans="1:3" s="323" customFormat="1" ht="42.75" customHeight="1">
      <c r="A4" s="194"/>
      <c r="B4" s="369" t="s">
        <v>2013</v>
      </c>
      <c r="C4" s="371" t="s">
        <v>2014</v>
      </c>
    </row>
    <row r="5" spans="1:3" s="323" customFormat="1" ht="42.75" customHeight="1">
      <c r="A5" s="194"/>
      <c r="B5" s="369" t="s">
        <v>2015</v>
      </c>
      <c r="C5" s="371" t="s">
        <v>2016</v>
      </c>
    </row>
    <row r="6" spans="1:3" s="323" customFormat="1" ht="42.75" customHeight="1">
      <c r="A6" s="194"/>
      <c r="B6" s="369" t="s">
        <v>2017</v>
      </c>
      <c r="C6" s="371" t="s">
        <v>2018</v>
      </c>
    </row>
    <row r="7" spans="1:3" s="323" customFormat="1" ht="42.75" customHeight="1">
      <c r="A7" s="194"/>
      <c r="B7" s="369" t="s">
        <v>2019</v>
      </c>
      <c r="C7" s="371" t="s">
        <v>2020</v>
      </c>
    </row>
    <row r="8" spans="1:3" s="323" customFormat="1" ht="42.75" customHeight="1">
      <c r="A8" s="194"/>
      <c r="B8" s="369" t="s">
        <v>2021</v>
      </c>
      <c r="C8" s="371" t="s">
        <v>2022</v>
      </c>
    </row>
  </sheetData>
  <mergeCells count="1">
    <mergeCell ref="A2:C2"/>
  </mergeCells>
  <phoneticPr fontId="2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A3" sqref="A1:XFD1048576"/>
    </sheetView>
  </sheetViews>
  <sheetFormatPr defaultRowHeight="12"/>
  <cols>
    <col min="1" max="1" width="23" style="340" bestFit="1" customWidth="1"/>
    <col min="2" max="9" width="12.875" style="340" customWidth="1"/>
    <col min="10" max="256" width="9" style="340"/>
    <col min="257" max="257" width="23" style="340" bestFit="1" customWidth="1"/>
    <col min="258" max="265" width="12.875" style="340" customWidth="1"/>
    <col min="266" max="512" width="9" style="340"/>
    <col min="513" max="513" width="23" style="340" bestFit="1" customWidth="1"/>
    <col min="514" max="521" width="12.875" style="340" customWidth="1"/>
    <col min="522" max="768" width="9" style="340"/>
    <col min="769" max="769" width="23" style="340" bestFit="1" customWidth="1"/>
    <col min="770" max="777" width="12.875" style="340" customWidth="1"/>
    <col min="778" max="1024" width="9" style="340"/>
    <col min="1025" max="1025" width="23" style="340" bestFit="1" customWidth="1"/>
    <col min="1026" max="1033" width="12.875" style="340" customWidth="1"/>
    <col min="1034" max="1280" width="9" style="340"/>
    <col min="1281" max="1281" width="23" style="340" bestFit="1" customWidth="1"/>
    <col min="1282" max="1289" width="12.875" style="340" customWidth="1"/>
    <col min="1290" max="1536" width="9" style="340"/>
    <col min="1537" max="1537" width="23" style="340" bestFit="1" customWidth="1"/>
    <col min="1538" max="1545" width="12.875" style="340" customWidth="1"/>
    <col min="1546" max="1792" width="9" style="340"/>
    <col min="1793" max="1793" width="23" style="340" bestFit="1" customWidth="1"/>
    <col min="1794" max="1801" width="12.875" style="340" customWidth="1"/>
    <col min="1802" max="2048" width="9" style="340"/>
    <col min="2049" max="2049" width="23" style="340" bestFit="1" customWidth="1"/>
    <col min="2050" max="2057" width="12.875" style="340" customWidth="1"/>
    <col min="2058" max="2304" width="9" style="340"/>
    <col min="2305" max="2305" width="23" style="340" bestFit="1" customWidth="1"/>
    <col min="2306" max="2313" width="12.875" style="340" customWidth="1"/>
    <col min="2314" max="2560" width="9" style="340"/>
    <col min="2561" max="2561" width="23" style="340" bestFit="1" customWidth="1"/>
    <col min="2562" max="2569" width="12.875" style="340" customWidth="1"/>
    <col min="2570" max="2816" width="9" style="340"/>
    <col min="2817" max="2817" width="23" style="340" bestFit="1" customWidth="1"/>
    <col min="2818" max="2825" width="12.875" style="340" customWidth="1"/>
    <col min="2826" max="3072" width="9" style="340"/>
    <col min="3073" max="3073" width="23" style="340" bestFit="1" customWidth="1"/>
    <col min="3074" max="3081" width="12.875" style="340" customWidth="1"/>
    <col min="3082" max="3328" width="9" style="340"/>
    <col min="3329" max="3329" width="23" style="340" bestFit="1" customWidth="1"/>
    <col min="3330" max="3337" width="12.875" style="340" customWidth="1"/>
    <col min="3338" max="3584" width="9" style="340"/>
    <col min="3585" max="3585" width="23" style="340" bestFit="1" customWidth="1"/>
    <col min="3586" max="3593" width="12.875" style="340" customWidth="1"/>
    <col min="3594" max="3840" width="9" style="340"/>
    <col min="3841" max="3841" width="23" style="340" bestFit="1" customWidth="1"/>
    <col min="3842" max="3849" width="12.875" style="340" customWidth="1"/>
    <col min="3850" max="4096" width="9" style="340"/>
    <col min="4097" max="4097" width="23" style="340" bestFit="1" customWidth="1"/>
    <col min="4098" max="4105" width="12.875" style="340" customWidth="1"/>
    <col min="4106" max="4352" width="9" style="340"/>
    <col min="4353" max="4353" width="23" style="340" bestFit="1" customWidth="1"/>
    <col min="4354" max="4361" width="12.875" style="340" customWidth="1"/>
    <col min="4362" max="4608" width="9" style="340"/>
    <col min="4609" max="4609" width="23" style="340" bestFit="1" customWidth="1"/>
    <col min="4610" max="4617" width="12.875" style="340" customWidth="1"/>
    <col min="4618" max="4864" width="9" style="340"/>
    <col min="4865" max="4865" width="23" style="340" bestFit="1" customWidth="1"/>
    <col min="4866" max="4873" width="12.875" style="340" customWidth="1"/>
    <col min="4874" max="5120" width="9" style="340"/>
    <col min="5121" max="5121" width="23" style="340" bestFit="1" customWidth="1"/>
    <col min="5122" max="5129" width="12.875" style="340" customWidth="1"/>
    <col min="5130" max="5376" width="9" style="340"/>
    <col min="5377" max="5377" width="23" style="340" bestFit="1" customWidth="1"/>
    <col min="5378" max="5385" width="12.875" style="340" customWidth="1"/>
    <col min="5386" max="5632" width="9" style="340"/>
    <col min="5633" max="5633" width="23" style="340" bestFit="1" customWidth="1"/>
    <col min="5634" max="5641" width="12.875" style="340" customWidth="1"/>
    <col min="5642" max="5888" width="9" style="340"/>
    <col min="5889" max="5889" width="23" style="340" bestFit="1" customWidth="1"/>
    <col min="5890" max="5897" width="12.875" style="340" customWidth="1"/>
    <col min="5898" max="6144" width="9" style="340"/>
    <col min="6145" max="6145" width="23" style="340" bestFit="1" customWidth="1"/>
    <col min="6146" max="6153" width="12.875" style="340" customWidth="1"/>
    <col min="6154" max="6400" width="9" style="340"/>
    <col min="6401" max="6401" width="23" style="340" bestFit="1" customWidth="1"/>
    <col min="6402" max="6409" width="12.875" style="340" customWidth="1"/>
    <col min="6410" max="6656" width="9" style="340"/>
    <col min="6657" max="6657" width="23" style="340" bestFit="1" customWidth="1"/>
    <col min="6658" max="6665" width="12.875" style="340" customWidth="1"/>
    <col min="6666" max="6912" width="9" style="340"/>
    <col min="6913" max="6913" width="23" style="340" bestFit="1" customWidth="1"/>
    <col min="6914" max="6921" width="12.875" style="340" customWidth="1"/>
    <col min="6922" max="7168" width="9" style="340"/>
    <col min="7169" max="7169" width="23" style="340" bestFit="1" customWidth="1"/>
    <col min="7170" max="7177" width="12.875" style="340" customWidth="1"/>
    <col min="7178" max="7424" width="9" style="340"/>
    <col min="7425" max="7425" width="23" style="340" bestFit="1" customWidth="1"/>
    <col min="7426" max="7433" width="12.875" style="340" customWidth="1"/>
    <col min="7434" max="7680" width="9" style="340"/>
    <col min="7681" max="7681" width="23" style="340" bestFit="1" customWidth="1"/>
    <col min="7682" max="7689" width="12.875" style="340" customWidth="1"/>
    <col min="7690" max="7936" width="9" style="340"/>
    <col min="7937" max="7937" width="23" style="340" bestFit="1" customWidth="1"/>
    <col min="7938" max="7945" width="12.875" style="340" customWidth="1"/>
    <col min="7946" max="8192" width="9" style="340"/>
    <col min="8193" max="8193" width="23" style="340" bestFit="1" customWidth="1"/>
    <col min="8194" max="8201" width="12.875" style="340" customWidth="1"/>
    <col min="8202" max="8448" width="9" style="340"/>
    <col min="8449" max="8449" width="23" style="340" bestFit="1" customWidth="1"/>
    <col min="8450" max="8457" width="12.875" style="340" customWidth="1"/>
    <col min="8458" max="8704" width="9" style="340"/>
    <col min="8705" max="8705" width="23" style="340" bestFit="1" customWidth="1"/>
    <col min="8706" max="8713" width="12.875" style="340" customWidth="1"/>
    <col min="8714" max="8960" width="9" style="340"/>
    <col min="8961" max="8961" width="23" style="340" bestFit="1" customWidth="1"/>
    <col min="8962" max="8969" width="12.875" style="340" customWidth="1"/>
    <col min="8970" max="9216" width="9" style="340"/>
    <col min="9217" max="9217" width="23" style="340" bestFit="1" customWidth="1"/>
    <col min="9218" max="9225" width="12.875" style="340" customWidth="1"/>
    <col min="9226" max="9472" width="9" style="340"/>
    <col min="9473" max="9473" width="23" style="340" bestFit="1" customWidth="1"/>
    <col min="9474" max="9481" width="12.875" style="340" customWidth="1"/>
    <col min="9482" max="9728" width="9" style="340"/>
    <col min="9729" max="9729" width="23" style="340" bestFit="1" customWidth="1"/>
    <col min="9730" max="9737" width="12.875" style="340" customWidth="1"/>
    <col min="9738" max="9984" width="9" style="340"/>
    <col min="9985" max="9985" width="23" style="340" bestFit="1" customWidth="1"/>
    <col min="9986" max="9993" width="12.875" style="340" customWidth="1"/>
    <col min="9994" max="10240" width="9" style="340"/>
    <col min="10241" max="10241" width="23" style="340" bestFit="1" customWidth="1"/>
    <col min="10242" max="10249" width="12.875" style="340" customWidth="1"/>
    <col min="10250" max="10496" width="9" style="340"/>
    <col min="10497" max="10497" width="23" style="340" bestFit="1" customWidth="1"/>
    <col min="10498" max="10505" width="12.875" style="340" customWidth="1"/>
    <col min="10506" max="10752" width="9" style="340"/>
    <col min="10753" max="10753" width="23" style="340" bestFit="1" customWidth="1"/>
    <col min="10754" max="10761" width="12.875" style="340" customWidth="1"/>
    <col min="10762" max="11008" width="9" style="340"/>
    <col min="11009" max="11009" width="23" style="340" bestFit="1" customWidth="1"/>
    <col min="11010" max="11017" width="12.875" style="340" customWidth="1"/>
    <col min="11018" max="11264" width="9" style="340"/>
    <col min="11265" max="11265" width="23" style="340" bestFit="1" customWidth="1"/>
    <col min="11266" max="11273" width="12.875" style="340" customWidth="1"/>
    <col min="11274" max="11520" width="9" style="340"/>
    <col min="11521" max="11521" width="23" style="340" bestFit="1" customWidth="1"/>
    <col min="11522" max="11529" width="12.875" style="340" customWidth="1"/>
    <col min="11530" max="11776" width="9" style="340"/>
    <col min="11777" max="11777" width="23" style="340" bestFit="1" customWidth="1"/>
    <col min="11778" max="11785" width="12.875" style="340" customWidth="1"/>
    <col min="11786" max="12032" width="9" style="340"/>
    <col min="12033" max="12033" width="23" style="340" bestFit="1" customWidth="1"/>
    <col min="12034" max="12041" width="12.875" style="340" customWidth="1"/>
    <col min="12042" max="12288" width="9" style="340"/>
    <col min="12289" max="12289" width="23" style="340" bestFit="1" customWidth="1"/>
    <col min="12290" max="12297" width="12.875" style="340" customWidth="1"/>
    <col min="12298" max="12544" width="9" style="340"/>
    <col min="12545" max="12545" width="23" style="340" bestFit="1" customWidth="1"/>
    <col min="12546" max="12553" width="12.875" style="340" customWidth="1"/>
    <col min="12554" max="12800" width="9" style="340"/>
    <col min="12801" max="12801" width="23" style="340" bestFit="1" customWidth="1"/>
    <col min="12802" max="12809" width="12.875" style="340" customWidth="1"/>
    <col min="12810" max="13056" width="9" style="340"/>
    <col min="13057" max="13057" width="23" style="340" bestFit="1" customWidth="1"/>
    <col min="13058" max="13065" width="12.875" style="340" customWidth="1"/>
    <col min="13066" max="13312" width="9" style="340"/>
    <col min="13313" max="13313" width="23" style="340" bestFit="1" customWidth="1"/>
    <col min="13314" max="13321" width="12.875" style="340" customWidth="1"/>
    <col min="13322" max="13568" width="9" style="340"/>
    <col min="13569" max="13569" width="23" style="340" bestFit="1" customWidth="1"/>
    <col min="13570" max="13577" width="12.875" style="340" customWidth="1"/>
    <col min="13578" max="13824" width="9" style="340"/>
    <col min="13825" max="13825" width="23" style="340" bestFit="1" customWidth="1"/>
    <col min="13826" max="13833" width="12.875" style="340" customWidth="1"/>
    <col min="13834" max="14080" width="9" style="340"/>
    <col min="14081" max="14081" width="23" style="340" bestFit="1" customWidth="1"/>
    <col min="14082" max="14089" width="12.875" style="340" customWidth="1"/>
    <col min="14090" max="14336" width="9" style="340"/>
    <col min="14337" max="14337" width="23" style="340" bestFit="1" customWidth="1"/>
    <col min="14338" max="14345" width="12.875" style="340" customWidth="1"/>
    <col min="14346" max="14592" width="9" style="340"/>
    <col min="14593" max="14593" width="23" style="340" bestFit="1" customWidth="1"/>
    <col min="14594" max="14601" width="12.875" style="340" customWidth="1"/>
    <col min="14602" max="14848" width="9" style="340"/>
    <col min="14849" max="14849" width="23" style="340" bestFit="1" customWidth="1"/>
    <col min="14850" max="14857" width="12.875" style="340" customWidth="1"/>
    <col min="14858" max="15104" width="9" style="340"/>
    <col min="15105" max="15105" width="23" style="340" bestFit="1" customWidth="1"/>
    <col min="15106" max="15113" width="12.875" style="340" customWidth="1"/>
    <col min="15114" max="15360" width="9" style="340"/>
    <col min="15361" max="15361" width="23" style="340" bestFit="1" customWidth="1"/>
    <col min="15362" max="15369" width="12.875" style="340" customWidth="1"/>
    <col min="15370" max="15616" width="9" style="340"/>
    <col min="15617" max="15617" width="23" style="340" bestFit="1" customWidth="1"/>
    <col min="15618" max="15625" width="12.875" style="340" customWidth="1"/>
    <col min="15626" max="15872" width="9" style="340"/>
    <col min="15873" max="15873" width="23" style="340" bestFit="1" customWidth="1"/>
    <col min="15874" max="15881" width="12.875" style="340" customWidth="1"/>
    <col min="15882" max="16128" width="9" style="340"/>
    <col min="16129" max="16129" width="23" style="340" bestFit="1" customWidth="1"/>
    <col min="16130" max="16137" width="12.875" style="340" customWidth="1"/>
    <col min="16138" max="16384" width="9" style="340"/>
  </cols>
  <sheetData>
    <row r="1" spans="1:9" ht="36.75" customHeight="1">
      <c r="A1" s="712" t="s">
        <v>2023</v>
      </c>
      <c r="B1" s="712"/>
      <c r="C1" s="712"/>
      <c r="D1" s="712"/>
      <c r="E1" s="712"/>
      <c r="F1" s="712"/>
      <c r="G1" s="712"/>
      <c r="H1" s="712"/>
      <c r="I1" s="712"/>
    </row>
    <row r="2" spans="1:9" s="342" customFormat="1" ht="18.75" customHeight="1">
      <c r="A2" s="341"/>
      <c r="B2" s="341"/>
      <c r="C2" s="341"/>
      <c r="D2" s="341"/>
      <c r="E2" s="341"/>
      <c r="F2" s="341"/>
      <c r="G2" s="341"/>
      <c r="H2" s="714" t="s">
        <v>2024</v>
      </c>
      <c r="I2" s="714"/>
    </row>
    <row r="3" spans="1:9" s="348" customFormat="1" ht="18.75" customHeight="1" thickBot="1">
      <c r="A3" s="343" t="s">
        <v>1526</v>
      </c>
      <c r="B3" s="344"/>
      <c r="C3" s="345"/>
      <c r="D3" s="346"/>
      <c r="E3" s="346"/>
      <c r="F3" s="346"/>
      <c r="G3" s="346"/>
      <c r="H3" s="714" t="s">
        <v>1527</v>
      </c>
      <c r="I3" s="714"/>
    </row>
    <row r="4" spans="1:9" s="349" customFormat="1" ht="33" customHeight="1">
      <c r="A4" s="715" t="s">
        <v>1501</v>
      </c>
      <c r="B4" s="708" t="s">
        <v>1502</v>
      </c>
      <c r="C4" s="711"/>
      <c r="D4" s="718" t="s">
        <v>2025</v>
      </c>
      <c r="E4" s="709"/>
      <c r="F4" s="718" t="s">
        <v>2026</v>
      </c>
      <c r="G4" s="709"/>
      <c r="H4" s="718" t="s">
        <v>2027</v>
      </c>
      <c r="I4" s="711"/>
    </row>
    <row r="5" spans="1:9" s="349" customFormat="1" ht="27.75" customHeight="1" thickBot="1">
      <c r="A5" s="716"/>
      <c r="B5" s="350" t="s">
        <v>1510</v>
      </c>
      <c r="C5" s="351" t="s">
        <v>1511</v>
      </c>
      <c r="D5" s="352" t="s">
        <v>1510</v>
      </c>
      <c r="E5" s="352" t="s">
        <v>1511</v>
      </c>
      <c r="F5" s="352" t="s">
        <v>1510</v>
      </c>
      <c r="G5" s="352" t="s">
        <v>1511</v>
      </c>
      <c r="H5" s="352" t="s">
        <v>1510</v>
      </c>
      <c r="I5" s="351" t="s">
        <v>1511</v>
      </c>
    </row>
    <row r="6" spans="1:9" s="349" customFormat="1" ht="30" customHeight="1">
      <c r="A6" s="355" t="s">
        <v>1512</v>
      </c>
      <c r="B6" s="550">
        <f t="shared" ref="B6:C16" si="0">D6+F6+H6</f>
        <v>9865181536.8600006</v>
      </c>
      <c r="C6" s="551">
        <f t="shared" si="0"/>
        <v>11450812479.66</v>
      </c>
      <c r="D6" s="552">
        <f t="shared" ref="D6:I6" si="1">SUM(D7:D10)+D12</f>
        <v>1075979943.77</v>
      </c>
      <c r="E6" s="552">
        <f t="shared" si="1"/>
        <v>1142631541.1400001</v>
      </c>
      <c r="F6" s="552">
        <f t="shared" si="1"/>
        <v>4067637621.5</v>
      </c>
      <c r="G6" s="552">
        <f t="shared" si="1"/>
        <v>4983242525.3899994</v>
      </c>
      <c r="H6" s="552">
        <f t="shared" si="1"/>
        <v>4721563971.5900002</v>
      </c>
      <c r="I6" s="551">
        <f t="shared" si="1"/>
        <v>5324938413.1300001</v>
      </c>
    </row>
    <row r="7" spans="1:9" s="349" customFormat="1" ht="30" customHeight="1">
      <c r="A7" s="360" t="s">
        <v>1513</v>
      </c>
      <c r="B7" s="553">
        <f t="shared" si="0"/>
        <v>0</v>
      </c>
      <c r="C7" s="325">
        <f t="shared" si="0"/>
        <v>0</v>
      </c>
      <c r="D7" s="324"/>
      <c r="E7" s="324"/>
      <c r="F7" s="324"/>
      <c r="G7" s="324"/>
      <c r="H7" s="324"/>
      <c r="I7" s="325"/>
    </row>
    <row r="8" spans="1:9" s="349" customFormat="1" ht="30" customHeight="1">
      <c r="A8" s="360" t="s">
        <v>1514</v>
      </c>
      <c r="B8" s="553">
        <f t="shared" si="0"/>
        <v>357654834.06999999</v>
      </c>
      <c r="C8" s="325">
        <f t="shared" si="0"/>
        <v>145787161.94</v>
      </c>
      <c r="D8" s="324">
        <v>125077277.31</v>
      </c>
      <c r="E8" s="324">
        <v>98807668.010000005</v>
      </c>
      <c r="F8" s="324">
        <v>45572950.539999999</v>
      </c>
      <c r="G8" s="324">
        <v>9578185.4399999995</v>
      </c>
      <c r="H8" s="324">
        <v>187004606.22</v>
      </c>
      <c r="I8" s="325">
        <f>33686233.72+3715074.77</f>
        <v>37401308.490000002</v>
      </c>
    </row>
    <row r="9" spans="1:9" s="349" customFormat="1" ht="30" customHeight="1">
      <c r="A9" s="360" t="s">
        <v>1515</v>
      </c>
      <c r="B9" s="553">
        <f t="shared" si="0"/>
        <v>9506159879.1000004</v>
      </c>
      <c r="C9" s="325">
        <f t="shared" si="0"/>
        <v>11302151134.110001</v>
      </c>
      <c r="D9" s="324">
        <v>950902666.45999992</v>
      </c>
      <c r="E9" s="324">
        <v>1043823873.13</v>
      </c>
      <c r="F9" s="324">
        <v>4022064665.96</v>
      </c>
      <c r="G9" s="324">
        <f>4972230824.47+1433515.48</f>
        <v>4973664339.9499998</v>
      </c>
      <c r="H9" s="324">
        <v>4533192546.6800003</v>
      </c>
      <c r="I9" s="325">
        <f>5150467731.81+1406046.93+132787526.64+1615.65</f>
        <v>5284662921.0300007</v>
      </c>
    </row>
    <row r="10" spans="1:9" s="349" customFormat="1" ht="30" customHeight="1">
      <c r="A10" s="360" t="s">
        <v>1516</v>
      </c>
      <c r="B10" s="553">
        <f t="shared" si="0"/>
        <v>1366823.69</v>
      </c>
      <c r="C10" s="325">
        <f t="shared" si="0"/>
        <v>2874183.61</v>
      </c>
      <c r="D10" s="324"/>
      <c r="E10" s="324"/>
      <c r="F10" s="324">
        <v>5</v>
      </c>
      <c r="G10" s="324"/>
      <c r="H10" s="324">
        <v>1366818.69</v>
      </c>
      <c r="I10" s="325">
        <v>2874183.61</v>
      </c>
    </row>
    <row r="11" spans="1:9" s="349" customFormat="1" ht="30" customHeight="1">
      <c r="A11" s="360" t="s">
        <v>2028</v>
      </c>
      <c r="B11" s="553">
        <f t="shared" si="0"/>
        <v>0</v>
      </c>
      <c r="C11" s="325">
        <f t="shared" si="0"/>
        <v>0</v>
      </c>
      <c r="D11" s="326"/>
      <c r="E11" s="326"/>
      <c r="F11" s="326"/>
      <c r="G11" s="326"/>
      <c r="H11" s="326"/>
      <c r="I11" s="327"/>
    </row>
    <row r="12" spans="1:9" s="349" customFormat="1" ht="30" customHeight="1">
      <c r="A12" s="360" t="s">
        <v>1519</v>
      </c>
      <c r="B12" s="553">
        <f t="shared" si="0"/>
        <v>0</v>
      </c>
      <c r="C12" s="325">
        <f t="shared" si="0"/>
        <v>0</v>
      </c>
      <c r="D12" s="324">
        <v>0</v>
      </c>
      <c r="E12" s="324">
        <v>0</v>
      </c>
      <c r="F12" s="324"/>
      <c r="G12" s="324"/>
      <c r="H12" s="324">
        <v>0</v>
      </c>
      <c r="I12" s="325">
        <f>'27.财政专户资负表'!L21</f>
        <v>0</v>
      </c>
    </row>
    <row r="13" spans="1:9" s="349" customFormat="1" ht="30" customHeight="1">
      <c r="A13" s="361" t="s">
        <v>1520</v>
      </c>
      <c r="B13" s="553">
        <f t="shared" si="0"/>
        <v>11235662.58</v>
      </c>
      <c r="C13" s="325">
        <f t="shared" si="0"/>
        <v>7972537.2300000004</v>
      </c>
      <c r="D13" s="324">
        <f t="shared" ref="D13:I13" si="2">SUM(D14:D15)</f>
        <v>9219195.4900000002</v>
      </c>
      <c r="E13" s="324">
        <f t="shared" si="2"/>
        <v>4300997.74</v>
      </c>
      <c r="F13" s="324">
        <f t="shared" si="2"/>
        <v>649648.4</v>
      </c>
      <c r="G13" s="324">
        <f t="shared" si="2"/>
        <v>500455.85</v>
      </c>
      <c r="H13" s="324">
        <f t="shared" si="2"/>
        <v>1366818.69</v>
      </c>
      <c r="I13" s="325">
        <f t="shared" si="2"/>
        <v>3171083.64</v>
      </c>
    </row>
    <row r="14" spans="1:9" s="349" customFormat="1" ht="30" customHeight="1">
      <c r="A14" s="360" t="s">
        <v>1521</v>
      </c>
      <c r="B14" s="553">
        <f t="shared" si="0"/>
        <v>0</v>
      </c>
      <c r="C14" s="325">
        <f t="shared" si="0"/>
        <v>0</v>
      </c>
      <c r="D14" s="324"/>
      <c r="E14" s="324"/>
      <c r="F14" s="324"/>
      <c r="G14" s="324"/>
      <c r="H14" s="324"/>
      <c r="I14" s="325"/>
    </row>
    <row r="15" spans="1:9" s="349" customFormat="1" ht="30" customHeight="1">
      <c r="A15" s="360" t="s">
        <v>1522</v>
      </c>
      <c r="B15" s="553">
        <f t="shared" si="0"/>
        <v>11235662.58</v>
      </c>
      <c r="C15" s="325">
        <f t="shared" si="0"/>
        <v>7972537.2300000004</v>
      </c>
      <c r="D15" s="324">
        <v>9219195.4900000002</v>
      </c>
      <c r="E15" s="324">
        <v>4300997.74</v>
      </c>
      <c r="F15" s="324">
        <v>649648.4</v>
      </c>
      <c r="G15" s="324">
        <v>500455.85</v>
      </c>
      <c r="H15" s="324">
        <v>1366818.69</v>
      </c>
      <c r="I15" s="325">
        <v>3171083.64</v>
      </c>
    </row>
    <row r="16" spans="1:9" s="349" customFormat="1" ht="30" customHeight="1" thickBot="1">
      <c r="A16" s="362" t="s">
        <v>1523</v>
      </c>
      <c r="B16" s="554">
        <f t="shared" si="0"/>
        <v>9853945874.2800007</v>
      </c>
      <c r="C16" s="555">
        <f t="shared" si="0"/>
        <v>11442839942.429998</v>
      </c>
      <c r="D16" s="556">
        <f>IF((D6-D13)='38.机关养老 (2)'!B15,D6-D13,0)</f>
        <v>1066760748.28</v>
      </c>
      <c r="E16" s="556">
        <f>IF((E6-E13)='38.机关养老 (2)'!D15,E6-E13,0)</f>
        <v>1138330543.4000001</v>
      </c>
      <c r="F16" s="556">
        <f>IF((F6-F13)='39.地补养老'!B17,F6-F13,0)</f>
        <v>4066987973.0999999</v>
      </c>
      <c r="G16" s="556">
        <f>IF((G6-G13)='39.地补养老'!D17,G6-G13,0)</f>
        <v>4982742069.539999</v>
      </c>
      <c r="H16" s="556">
        <f>IF((H6-H13)='40.地补医疗'!B15,H6-H13,0)</f>
        <v>4720197152.9000006</v>
      </c>
      <c r="I16" s="555">
        <f>IF((I6-I13)='40.地补医疗'!D15,I6-I13,0)</f>
        <v>5321767329.4899998</v>
      </c>
    </row>
    <row r="17" s="349" customFormat="1" ht="14.25" customHeight="1"/>
    <row r="18" s="349" customFormat="1" ht="14.25" customHeight="1"/>
    <row r="19" s="349" customFormat="1" ht="14.25" customHeight="1"/>
    <row r="20" s="349" customFormat="1" ht="14.25" customHeight="1"/>
    <row r="21" s="349" customFormat="1" ht="14.25" customHeight="1"/>
    <row r="22" s="349" customFormat="1" ht="14.25" customHeight="1"/>
    <row r="23" s="349" customFormat="1" ht="14.25" customHeight="1"/>
    <row r="24" s="349" customFormat="1" ht="14.25" customHeight="1"/>
    <row r="25" s="349" customFormat="1" ht="14.25" customHeight="1"/>
    <row r="26" s="349" customFormat="1" ht="14.25" customHeight="1"/>
    <row r="27" s="349" customFormat="1" ht="14.25" customHeight="1"/>
    <row r="28" s="349" customFormat="1" ht="14.25" customHeight="1"/>
    <row r="29" s="349" customFormat="1" ht="14.25" customHeight="1"/>
    <row r="30" s="349" customFormat="1" ht="14.25" customHeight="1"/>
    <row r="31" s="349" customFormat="1" ht="14.25" customHeight="1"/>
    <row r="32" s="349" customFormat="1" ht="14.25" customHeight="1"/>
    <row r="33" s="349" customFormat="1" ht="14.25" customHeight="1"/>
  </sheetData>
  <mergeCells count="8">
    <mergeCell ref="A1:I1"/>
    <mergeCell ref="H2:I2"/>
    <mergeCell ref="H3:I3"/>
    <mergeCell ref="A4:A5"/>
    <mergeCell ref="B4:C4"/>
    <mergeCell ref="D4:E4"/>
    <mergeCell ref="F4:G4"/>
    <mergeCell ref="H4:I4"/>
  </mergeCells>
  <phoneticPr fontId="2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A3" sqref="A1:XFD1048576"/>
    </sheetView>
  </sheetViews>
  <sheetFormatPr defaultRowHeight="14.25" customHeight="1"/>
  <cols>
    <col min="1" max="1" width="37.25" style="368" customWidth="1"/>
    <col min="2" max="2" width="24.5" style="368" customWidth="1"/>
    <col min="3" max="3" width="37.25" style="368" customWidth="1"/>
    <col min="4" max="4" width="24.5" style="368" customWidth="1"/>
    <col min="5" max="256" width="9" style="368"/>
    <col min="257" max="257" width="37.25" style="368" customWidth="1"/>
    <col min="258" max="258" width="24.5" style="368" customWidth="1"/>
    <col min="259" max="259" width="37.25" style="368" customWidth="1"/>
    <col min="260" max="260" width="24.5" style="368" customWidth="1"/>
    <col min="261" max="512" width="9" style="368"/>
    <col min="513" max="513" width="37.25" style="368" customWidth="1"/>
    <col min="514" max="514" width="24.5" style="368" customWidth="1"/>
    <col min="515" max="515" width="37.25" style="368" customWidth="1"/>
    <col min="516" max="516" width="24.5" style="368" customWidth="1"/>
    <col min="517" max="768" width="9" style="368"/>
    <col min="769" max="769" width="37.25" style="368" customWidth="1"/>
    <col min="770" max="770" width="24.5" style="368" customWidth="1"/>
    <col min="771" max="771" width="37.25" style="368" customWidth="1"/>
    <col min="772" max="772" width="24.5" style="368" customWidth="1"/>
    <col min="773" max="1024" width="9" style="368"/>
    <col min="1025" max="1025" width="37.25" style="368" customWidth="1"/>
    <col min="1026" max="1026" width="24.5" style="368" customWidth="1"/>
    <col min="1027" max="1027" width="37.25" style="368" customWidth="1"/>
    <col min="1028" max="1028" width="24.5" style="368" customWidth="1"/>
    <col min="1029" max="1280" width="9" style="368"/>
    <col min="1281" max="1281" width="37.25" style="368" customWidth="1"/>
    <col min="1282" max="1282" width="24.5" style="368" customWidth="1"/>
    <col min="1283" max="1283" width="37.25" style="368" customWidth="1"/>
    <col min="1284" max="1284" width="24.5" style="368" customWidth="1"/>
    <col min="1285" max="1536" width="9" style="368"/>
    <col min="1537" max="1537" width="37.25" style="368" customWidth="1"/>
    <col min="1538" max="1538" width="24.5" style="368" customWidth="1"/>
    <col min="1539" max="1539" width="37.25" style="368" customWidth="1"/>
    <col min="1540" max="1540" width="24.5" style="368" customWidth="1"/>
    <col min="1541" max="1792" width="9" style="368"/>
    <col min="1793" max="1793" width="37.25" style="368" customWidth="1"/>
    <col min="1794" max="1794" width="24.5" style="368" customWidth="1"/>
    <col min="1795" max="1795" width="37.25" style="368" customWidth="1"/>
    <col min="1796" max="1796" width="24.5" style="368" customWidth="1"/>
    <col min="1797" max="2048" width="9" style="368"/>
    <col min="2049" max="2049" width="37.25" style="368" customWidth="1"/>
    <col min="2050" max="2050" width="24.5" style="368" customWidth="1"/>
    <col min="2051" max="2051" width="37.25" style="368" customWidth="1"/>
    <col min="2052" max="2052" width="24.5" style="368" customWidth="1"/>
    <col min="2053" max="2304" width="9" style="368"/>
    <col min="2305" max="2305" width="37.25" style="368" customWidth="1"/>
    <col min="2306" max="2306" width="24.5" style="368" customWidth="1"/>
    <col min="2307" max="2307" width="37.25" style="368" customWidth="1"/>
    <col min="2308" max="2308" width="24.5" style="368" customWidth="1"/>
    <col min="2309" max="2560" width="9" style="368"/>
    <col min="2561" max="2561" width="37.25" style="368" customWidth="1"/>
    <col min="2562" max="2562" width="24.5" style="368" customWidth="1"/>
    <col min="2563" max="2563" width="37.25" style="368" customWidth="1"/>
    <col min="2564" max="2564" width="24.5" style="368" customWidth="1"/>
    <col min="2565" max="2816" width="9" style="368"/>
    <col min="2817" max="2817" width="37.25" style="368" customWidth="1"/>
    <col min="2818" max="2818" width="24.5" style="368" customWidth="1"/>
    <col min="2819" max="2819" width="37.25" style="368" customWidth="1"/>
    <col min="2820" max="2820" width="24.5" style="368" customWidth="1"/>
    <col min="2821" max="3072" width="9" style="368"/>
    <col min="3073" max="3073" width="37.25" style="368" customWidth="1"/>
    <col min="3074" max="3074" width="24.5" style="368" customWidth="1"/>
    <col min="3075" max="3075" width="37.25" style="368" customWidth="1"/>
    <col min="3076" max="3076" width="24.5" style="368" customWidth="1"/>
    <col min="3077" max="3328" width="9" style="368"/>
    <col min="3329" max="3329" width="37.25" style="368" customWidth="1"/>
    <col min="3330" max="3330" width="24.5" style="368" customWidth="1"/>
    <col min="3331" max="3331" width="37.25" style="368" customWidth="1"/>
    <col min="3332" max="3332" width="24.5" style="368" customWidth="1"/>
    <col min="3333" max="3584" width="9" style="368"/>
    <col min="3585" max="3585" width="37.25" style="368" customWidth="1"/>
    <col min="3586" max="3586" width="24.5" style="368" customWidth="1"/>
    <col min="3587" max="3587" width="37.25" style="368" customWidth="1"/>
    <col min="3588" max="3588" width="24.5" style="368" customWidth="1"/>
    <col min="3589" max="3840" width="9" style="368"/>
    <col min="3841" max="3841" width="37.25" style="368" customWidth="1"/>
    <col min="3842" max="3842" width="24.5" style="368" customWidth="1"/>
    <col min="3843" max="3843" width="37.25" style="368" customWidth="1"/>
    <col min="3844" max="3844" width="24.5" style="368" customWidth="1"/>
    <col min="3845" max="4096" width="9" style="368"/>
    <col min="4097" max="4097" width="37.25" style="368" customWidth="1"/>
    <col min="4098" max="4098" width="24.5" style="368" customWidth="1"/>
    <col min="4099" max="4099" width="37.25" style="368" customWidth="1"/>
    <col min="4100" max="4100" width="24.5" style="368" customWidth="1"/>
    <col min="4101" max="4352" width="9" style="368"/>
    <col min="4353" max="4353" width="37.25" style="368" customWidth="1"/>
    <col min="4354" max="4354" width="24.5" style="368" customWidth="1"/>
    <col min="4355" max="4355" width="37.25" style="368" customWidth="1"/>
    <col min="4356" max="4356" width="24.5" style="368" customWidth="1"/>
    <col min="4357" max="4608" width="9" style="368"/>
    <col min="4609" max="4609" width="37.25" style="368" customWidth="1"/>
    <col min="4610" max="4610" width="24.5" style="368" customWidth="1"/>
    <col min="4611" max="4611" width="37.25" style="368" customWidth="1"/>
    <col min="4612" max="4612" width="24.5" style="368" customWidth="1"/>
    <col min="4613" max="4864" width="9" style="368"/>
    <col min="4865" max="4865" width="37.25" style="368" customWidth="1"/>
    <col min="4866" max="4866" width="24.5" style="368" customWidth="1"/>
    <col min="4867" max="4867" width="37.25" style="368" customWidth="1"/>
    <col min="4868" max="4868" width="24.5" style="368" customWidth="1"/>
    <col min="4869" max="5120" width="9" style="368"/>
    <col min="5121" max="5121" width="37.25" style="368" customWidth="1"/>
    <col min="5122" max="5122" width="24.5" style="368" customWidth="1"/>
    <col min="5123" max="5123" width="37.25" style="368" customWidth="1"/>
    <col min="5124" max="5124" width="24.5" style="368" customWidth="1"/>
    <col min="5125" max="5376" width="9" style="368"/>
    <col min="5377" max="5377" width="37.25" style="368" customWidth="1"/>
    <col min="5378" max="5378" width="24.5" style="368" customWidth="1"/>
    <col min="5379" max="5379" width="37.25" style="368" customWidth="1"/>
    <col min="5380" max="5380" width="24.5" style="368" customWidth="1"/>
    <col min="5381" max="5632" width="9" style="368"/>
    <col min="5633" max="5633" width="37.25" style="368" customWidth="1"/>
    <col min="5634" max="5634" width="24.5" style="368" customWidth="1"/>
    <col min="5635" max="5635" width="37.25" style="368" customWidth="1"/>
    <col min="5636" max="5636" width="24.5" style="368" customWidth="1"/>
    <col min="5637" max="5888" width="9" style="368"/>
    <col min="5889" max="5889" width="37.25" style="368" customWidth="1"/>
    <col min="5890" max="5890" width="24.5" style="368" customWidth="1"/>
    <col min="5891" max="5891" width="37.25" style="368" customWidth="1"/>
    <col min="5892" max="5892" width="24.5" style="368" customWidth="1"/>
    <col min="5893" max="6144" width="9" style="368"/>
    <col min="6145" max="6145" width="37.25" style="368" customWidth="1"/>
    <col min="6146" max="6146" width="24.5" style="368" customWidth="1"/>
    <col min="6147" max="6147" width="37.25" style="368" customWidth="1"/>
    <col min="6148" max="6148" width="24.5" style="368" customWidth="1"/>
    <col min="6149" max="6400" width="9" style="368"/>
    <col min="6401" max="6401" width="37.25" style="368" customWidth="1"/>
    <col min="6402" max="6402" width="24.5" style="368" customWidth="1"/>
    <col min="6403" max="6403" width="37.25" style="368" customWidth="1"/>
    <col min="6404" max="6404" width="24.5" style="368" customWidth="1"/>
    <col min="6405" max="6656" width="9" style="368"/>
    <col min="6657" max="6657" width="37.25" style="368" customWidth="1"/>
    <col min="6658" max="6658" width="24.5" style="368" customWidth="1"/>
    <col min="6659" max="6659" width="37.25" style="368" customWidth="1"/>
    <col min="6660" max="6660" width="24.5" style="368" customWidth="1"/>
    <col min="6661" max="6912" width="9" style="368"/>
    <col min="6913" max="6913" width="37.25" style="368" customWidth="1"/>
    <col min="6914" max="6914" width="24.5" style="368" customWidth="1"/>
    <col min="6915" max="6915" width="37.25" style="368" customWidth="1"/>
    <col min="6916" max="6916" width="24.5" style="368" customWidth="1"/>
    <col min="6917" max="7168" width="9" style="368"/>
    <col min="7169" max="7169" width="37.25" style="368" customWidth="1"/>
    <col min="7170" max="7170" width="24.5" style="368" customWidth="1"/>
    <col min="7171" max="7171" width="37.25" style="368" customWidth="1"/>
    <col min="7172" max="7172" width="24.5" style="368" customWidth="1"/>
    <col min="7173" max="7424" width="9" style="368"/>
    <col min="7425" max="7425" width="37.25" style="368" customWidth="1"/>
    <col min="7426" max="7426" width="24.5" style="368" customWidth="1"/>
    <col min="7427" max="7427" width="37.25" style="368" customWidth="1"/>
    <col min="7428" max="7428" width="24.5" style="368" customWidth="1"/>
    <col min="7429" max="7680" width="9" style="368"/>
    <col min="7681" max="7681" width="37.25" style="368" customWidth="1"/>
    <col min="7682" max="7682" width="24.5" style="368" customWidth="1"/>
    <col min="7683" max="7683" width="37.25" style="368" customWidth="1"/>
    <col min="7684" max="7684" width="24.5" style="368" customWidth="1"/>
    <col min="7685" max="7936" width="9" style="368"/>
    <col min="7937" max="7937" width="37.25" style="368" customWidth="1"/>
    <col min="7938" max="7938" width="24.5" style="368" customWidth="1"/>
    <col min="7939" max="7939" width="37.25" style="368" customWidth="1"/>
    <col min="7940" max="7940" width="24.5" style="368" customWidth="1"/>
    <col min="7941" max="8192" width="9" style="368"/>
    <col min="8193" max="8193" width="37.25" style="368" customWidth="1"/>
    <col min="8194" max="8194" width="24.5" style="368" customWidth="1"/>
    <col min="8195" max="8195" width="37.25" style="368" customWidth="1"/>
    <col min="8196" max="8196" width="24.5" style="368" customWidth="1"/>
    <col min="8197" max="8448" width="9" style="368"/>
    <col min="8449" max="8449" width="37.25" style="368" customWidth="1"/>
    <col min="8450" max="8450" width="24.5" style="368" customWidth="1"/>
    <col min="8451" max="8451" width="37.25" style="368" customWidth="1"/>
    <col min="8452" max="8452" width="24.5" style="368" customWidth="1"/>
    <col min="8453" max="8704" width="9" style="368"/>
    <col min="8705" max="8705" width="37.25" style="368" customWidth="1"/>
    <col min="8706" max="8706" width="24.5" style="368" customWidth="1"/>
    <col min="8707" max="8707" width="37.25" style="368" customWidth="1"/>
    <col min="8708" max="8708" width="24.5" style="368" customWidth="1"/>
    <col min="8709" max="8960" width="9" style="368"/>
    <col min="8961" max="8961" width="37.25" style="368" customWidth="1"/>
    <col min="8962" max="8962" width="24.5" style="368" customWidth="1"/>
    <col min="8963" max="8963" width="37.25" style="368" customWidth="1"/>
    <col min="8964" max="8964" width="24.5" style="368" customWidth="1"/>
    <col min="8965" max="9216" width="9" style="368"/>
    <col min="9217" max="9217" width="37.25" style="368" customWidth="1"/>
    <col min="9218" max="9218" width="24.5" style="368" customWidth="1"/>
    <col min="9219" max="9219" width="37.25" style="368" customWidth="1"/>
    <col min="9220" max="9220" width="24.5" style="368" customWidth="1"/>
    <col min="9221" max="9472" width="9" style="368"/>
    <col min="9473" max="9473" width="37.25" style="368" customWidth="1"/>
    <col min="9474" max="9474" width="24.5" style="368" customWidth="1"/>
    <col min="9475" max="9475" width="37.25" style="368" customWidth="1"/>
    <col min="9476" max="9476" width="24.5" style="368" customWidth="1"/>
    <col min="9477" max="9728" width="9" style="368"/>
    <col min="9729" max="9729" width="37.25" style="368" customWidth="1"/>
    <col min="9730" max="9730" width="24.5" style="368" customWidth="1"/>
    <col min="9731" max="9731" width="37.25" style="368" customWidth="1"/>
    <col min="9732" max="9732" width="24.5" style="368" customWidth="1"/>
    <col min="9733" max="9984" width="9" style="368"/>
    <col min="9985" max="9985" width="37.25" style="368" customWidth="1"/>
    <col min="9986" max="9986" width="24.5" style="368" customWidth="1"/>
    <col min="9987" max="9987" width="37.25" style="368" customWidth="1"/>
    <col min="9988" max="9988" width="24.5" style="368" customWidth="1"/>
    <col min="9989" max="10240" width="9" style="368"/>
    <col min="10241" max="10241" width="37.25" style="368" customWidth="1"/>
    <col min="10242" max="10242" width="24.5" style="368" customWidth="1"/>
    <col min="10243" max="10243" width="37.25" style="368" customWidth="1"/>
    <col min="10244" max="10244" width="24.5" style="368" customWidth="1"/>
    <col min="10245" max="10496" width="9" style="368"/>
    <col min="10497" max="10497" width="37.25" style="368" customWidth="1"/>
    <col min="10498" max="10498" width="24.5" style="368" customWidth="1"/>
    <col min="10499" max="10499" width="37.25" style="368" customWidth="1"/>
    <col min="10500" max="10500" width="24.5" style="368" customWidth="1"/>
    <col min="10501" max="10752" width="9" style="368"/>
    <col min="10753" max="10753" width="37.25" style="368" customWidth="1"/>
    <col min="10754" max="10754" width="24.5" style="368" customWidth="1"/>
    <col min="10755" max="10755" width="37.25" style="368" customWidth="1"/>
    <col min="10756" max="10756" width="24.5" style="368" customWidth="1"/>
    <col min="10757" max="11008" width="9" style="368"/>
    <col min="11009" max="11009" width="37.25" style="368" customWidth="1"/>
    <col min="11010" max="11010" width="24.5" style="368" customWidth="1"/>
    <col min="11011" max="11011" width="37.25" style="368" customWidth="1"/>
    <col min="11012" max="11012" width="24.5" style="368" customWidth="1"/>
    <col min="11013" max="11264" width="9" style="368"/>
    <col min="11265" max="11265" width="37.25" style="368" customWidth="1"/>
    <col min="11266" max="11266" width="24.5" style="368" customWidth="1"/>
    <col min="11267" max="11267" width="37.25" style="368" customWidth="1"/>
    <col min="11268" max="11268" width="24.5" style="368" customWidth="1"/>
    <col min="11269" max="11520" width="9" style="368"/>
    <col min="11521" max="11521" width="37.25" style="368" customWidth="1"/>
    <col min="11522" max="11522" width="24.5" style="368" customWidth="1"/>
    <col min="11523" max="11523" width="37.25" style="368" customWidth="1"/>
    <col min="11524" max="11524" width="24.5" style="368" customWidth="1"/>
    <col min="11525" max="11776" width="9" style="368"/>
    <col min="11777" max="11777" width="37.25" style="368" customWidth="1"/>
    <col min="11778" max="11778" width="24.5" style="368" customWidth="1"/>
    <col min="11779" max="11779" width="37.25" style="368" customWidth="1"/>
    <col min="11780" max="11780" width="24.5" style="368" customWidth="1"/>
    <col min="11781" max="12032" width="9" style="368"/>
    <col min="12033" max="12033" width="37.25" style="368" customWidth="1"/>
    <col min="12034" max="12034" width="24.5" style="368" customWidth="1"/>
    <col min="12035" max="12035" width="37.25" style="368" customWidth="1"/>
    <col min="12036" max="12036" width="24.5" style="368" customWidth="1"/>
    <col min="12037" max="12288" width="9" style="368"/>
    <col min="12289" max="12289" width="37.25" style="368" customWidth="1"/>
    <col min="12290" max="12290" width="24.5" style="368" customWidth="1"/>
    <col min="12291" max="12291" width="37.25" style="368" customWidth="1"/>
    <col min="12292" max="12292" width="24.5" style="368" customWidth="1"/>
    <col min="12293" max="12544" width="9" style="368"/>
    <col min="12545" max="12545" width="37.25" style="368" customWidth="1"/>
    <col min="12546" max="12546" width="24.5" style="368" customWidth="1"/>
    <col min="12547" max="12547" width="37.25" style="368" customWidth="1"/>
    <col min="12548" max="12548" width="24.5" style="368" customWidth="1"/>
    <col min="12549" max="12800" width="9" style="368"/>
    <col min="12801" max="12801" width="37.25" style="368" customWidth="1"/>
    <col min="12802" max="12802" width="24.5" style="368" customWidth="1"/>
    <col min="12803" max="12803" width="37.25" style="368" customWidth="1"/>
    <col min="12804" max="12804" width="24.5" style="368" customWidth="1"/>
    <col min="12805" max="13056" width="9" style="368"/>
    <col min="13057" max="13057" width="37.25" style="368" customWidth="1"/>
    <col min="13058" max="13058" width="24.5" style="368" customWidth="1"/>
    <col min="13059" max="13059" width="37.25" style="368" customWidth="1"/>
    <col min="13060" max="13060" width="24.5" style="368" customWidth="1"/>
    <col min="13061" max="13312" width="9" style="368"/>
    <col min="13313" max="13313" width="37.25" style="368" customWidth="1"/>
    <col min="13314" max="13314" width="24.5" style="368" customWidth="1"/>
    <col min="13315" max="13315" width="37.25" style="368" customWidth="1"/>
    <col min="13316" max="13316" width="24.5" style="368" customWidth="1"/>
    <col min="13317" max="13568" width="9" style="368"/>
    <col min="13569" max="13569" width="37.25" style="368" customWidth="1"/>
    <col min="13570" max="13570" width="24.5" style="368" customWidth="1"/>
    <col min="13571" max="13571" width="37.25" style="368" customWidth="1"/>
    <col min="13572" max="13572" width="24.5" style="368" customWidth="1"/>
    <col min="13573" max="13824" width="9" style="368"/>
    <col min="13825" max="13825" width="37.25" style="368" customWidth="1"/>
    <col min="13826" max="13826" width="24.5" style="368" customWidth="1"/>
    <col min="13827" max="13827" width="37.25" style="368" customWidth="1"/>
    <col min="13828" max="13828" width="24.5" style="368" customWidth="1"/>
    <col min="13829" max="14080" width="9" style="368"/>
    <col min="14081" max="14081" width="37.25" style="368" customWidth="1"/>
    <col min="14082" max="14082" width="24.5" style="368" customWidth="1"/>
    <col min="14083" max="14083" width="37.25" style="368" customWidth="1"/>
    <col min="14084" max="14084" width="24.5" style="368" customWidth="1"/>
    <col min="14085" max="14336" width="9" style="368"/>
    <col min="14337" max="14337" width="37.25" style="368" customWidth="1"/>
    <col min="14338" max="14338" width="24.5" style="368" customWidth="1"/>
    <col min="14339" max="14339" width="37.25" style="368" customWidth="1"/>
    <col min="14340" max="14340" width="24.5" style="368" customWidth="1"/>
    <col min="14341" max="14592" width="9" style="368"/>
    <col min="14593" max="14593" width="37.25" style="368" customWidth="1"/>
    <col min="14594" max="14594" width="24.5" style="368" customWidth="1"/>
    <col min="14595" max="14595" width="37.25" style="368" customWidth="1"/>
    <col min="14596" max="14596" width="24.5" style="368" customWidth="1"/>
    <col min="14597" max="14848" width="9" style="368"/>
    <col min="14849" max="14849" width="37.25" style="368" customWidth="1"/>
    <col min="14850" max="14850" width="24.5" style="368" customWidth="1"/>
    <col min="14851" max="14851" width="37.25" style="368" customWidth="1"/>
    <col min="14852" max="14852" width="24.5" style="368" customWidth="1"/>
    <col min="14853" max="15104" width="9" style="368"/>
    <col min="15105" max="15105" width="37.25" style="368" customWidth="1"/>
    <col min="15106" max="15106" width="24.5" style="368" customWidth="1"/>
    <col min="15107" max="15107" width="37.25" style="368" customWidth="1"/>
    <col min="15108" max="15108" width="24.5" style="368" customWidth="1"/>
    <col min="15109" max="15360" width="9" style="368"/>
    <col min="15361" max="15361" width="37.25" style="368" customWidth="1"/>
    <col min="15362" max="15362" width="24.5" style="368" customWidth="1"/>
    <col min="15363" max="15363" width="37.25" style="368" customWidth="1"/>
    <col min="15364" max="15364" width="24.5" style="368" customWidth="1"/>
    <col min="15365" max="15616" width="9" style="368"/>
    <col min="15617" max="15617" width="37.25" style="368" customWidth="1"/>
    <col min="15618" max="15618" width="24.5" style="368" customWidth="1"/>
    <col min="15619" max="15619" width="37.25" style="368" customWidth="1"/>
    <col min="15620" max="15620" width="24.5" style="368" customWidth="1"/>
    <col min="15621" max="15872" width="9" style="368"/>
    <col min="15873" max="15873" width="37.25" style="368" customWidth="1"/>
    <col min="15874" max="15874" width="24.5" style="368" customWidth="1"/>
    <col min="15875" max="15875" width="37.25" style="368" customWidth="1"/>
    <col min="15876" max="15876" width="24.5" style="368" customWidth="1"/>
    <col min="15877" max="16128" width="9" style="368"/>
    <col min="16129" max="16129" width="37.25" style="368" customWidth="1"/>
    <col min="16130" max="16130" width="24.5" style="368" customWidth="1"/>
    <col min="16131" max="16131" width="37.25" style="368" customWidth="1"/>
    <col min="16132" max="16132" width="24.5" style="368" customWidth="1"/>
    <col min="16133" max="16384" width="9" style="368"/>
  </cols>
  <sheetData>
    <row r="1" spans="1:4" ht="36.75" customHeight="1">
      <c r="A1" s="722" t="s">
        <v>1557</v>
      </c>
      <c r="B1" s="722"/>
      <c r="C1" s="722"/>
      <c r="D1" s="722"/>
    </row>
    <row r="2" spans="1:4" ht="18.75" customHeight="1">
      <c r="A2" s="369"/>
      <c r="B2" s="370"/>
      <c r="C2" s="369"/>
      <c r="D2" s="371" t="s">
        <v>2029</v>
      </c>
    </row>
    <row r="3" spans="1:4" ht="18.75" customHeight="1" thickBot="1">
      <c r="A3" s="343" t="s">
        <v>1526</v>
      </c>
      <c r="B3" s="371"/>
      <c r="C3" s="372"/>
      <c r="D3" s="371" t="s">
        <v>1527</v>
      </c>
    </row>
    <row r="4" spans="1:4" ht="30" customHeight="1" thickBot="1">
      <c r="A4" s="239" t="s">
        <v>1528</v>
      </c>
      <c r="B4" s="373" t="s">
        <v>1529</v>
      </c>
      <c r="C4" s="255" t="s">
        <v>1528</v>
      </c>
      <c r="D4" s="373" t="s">
        <v>1529</v>
      </c>
    </row>
    <row r="5" spans="1:4" ht="28.15" customHeight="1">
      <c r="A5" s="374" t="s">
        <v>1530</v>
      </c>
      <c r="B5" s="216">
        <v>654915444.61000001</v>
      </c>
      <c r="C5" s="256" t="s">
        <v>1531</v>
      </c>
      <c r="D5" s="216">
        <v>681316844.11000001</v>
      </c>
    </row>
    <row r="6" spans="1:4" ht="28.15" customHeight="1">
      <c r="A6" s="244" t="s">
        <v>1532</v>
      </c>
      <c r="B6" s="217">
        <v>18511628.43</v>
      </c>
      <c r="C6" s="375" t="s">
        <v>1541</v>
      </c>
      <c r="D6" s="258" t="s">
        <v>1542</v>
      </c>
    </row>
    <row r="7" spans="1:4" ht="28.15" customHeight="1">
      <c r="A7" s="244" t="s">
        <v>1534</v>
      </c>
      <c r="B7" s="217"/>
      <c r="C7" s="375" t="s">
        <v>1541</v>
      </c>
      <c r="D7" s="258" t="s">
        <v>1542</v>
      </c>
    </row>
    <row r="8" spans="1:4" ht="28.15" customHeight="1">
      <c r="A8" s="244" t="s">
        <v>1536</v>
      </c>
      <c r="B8" s="217"/>
      <c r="C8" s="250" t="s">
        <v>1559</v>
      </c>
      <c r="D8" s="217"/>
    </row>
    <row r="9" spans="1:4" ht="28.15" customHeight="1">
      <c r="A9" s="244" t="s">
        <v>1543</v>
      </c>
      <c r="B9" s="217">
        <v>101378126.51000001</v>
      </c>
      <c r="C9" s="250" t="s">
        <v>1560</v>
      </c>
      <c r="D9" s="217">
        <v>21918560.32</v>
      </c>
    </row>
    <row r="10" spans="1:4" ht="28.15" customHeight="1">
      <c r="A10" s="244" t="s">
        <v>1545</v>
      </c>
      <c r="B10" s="217">
        <f>SUM(B5:B9)</f>
        <v>774805199.54999995</v>
      </c>
      <c r="C10" s="250" t="s">
        <v>1561</v>
      </c>
      <c r="D10" s="217">
        <f>D5+D8+D9</f>
        <v>703235404.43000007</v>
      </c>
    </row>
    <row r="11" spans="1:4" ht="28.15" customHeight="1">
      <c r="A11" s="244" t="s">
        <v>1547</v>
      </c>
      <c r="B11" s="217"/>
      <c r="C11" s="250" t="s">
        <v>1562</v>
      </c>
      <c r="D11" s="217"/>
    </row>
    <row r="12" spans="1:4" ht="28.15" customHeight="1">
      <c r="A12" s="244" t="s">
        <v>1549</v>
      </c>
      <c r="B12" s="217"/>
      <c r="C12" s="250" t="s">
        <v>1563</v>
      </c>
      <c r="D12" s="217"/>
    </row>
    <row r="13" spans="1:4" ht="28.15" customHeight="1">
      <c r="A13" s="244" t="s">
        <v>1551</v>
      </c>
      <c r="B13" s="217">
        <f>SUM(B10:B12)</f>
        <v>774805199.54999995</v>
      </c>
      <c r="C13" s="250" t="s">
        <v>1564</v>
      </c>
      <c r="D13" s="217">
        <f>SUM(D10:D12)</f>
        <v>703235404.43000007</v>
      </c>
    </row>
    <row r="14" spans="1:4" ht="28.15" customHeight="1">
      <c r="A14" s="332" t="s">
        <v>1542</v>
      </c>
      <c r="B14" s="258" t="s">
        <v>1542</v>
      </c>
      <c r="C14" s="250" t="s">
        <v>1565</v>
      </c>
      <c r="D14" s="217">
        <f>B13-D13</f>
        <v>71569795.119999886</v>
      </c>
    </row>
    <row r="15" spans="1:4" ht="28.15" customHeight="1" thickBot="1">
      <c r="A15" s="376" t="s">
        <v>1554</v>
      </c>
      <c r="B15" s="217">
        <v>1066760748.28</v>
      </c>
      <c r="C15" s="377" t="s">
        <v>1566</v>
      </c>
      <c r="D15" s="260">
        <f>B15+D14</f>
        <v>1138330543.3999999</v>
      </c>
    </row>
    <row r="16" spans="1:4" ht="30" customHeight="1" thickBot="1">
      <c r="A16" s="239" t="s">
        <v>1556</v>
      </c>
      <c r="B16" s="378">
        <f>B13+B15</f>
        <v>1841565947.8299999</v>
      </c>
      <c r="C16" s="255" t="s">
        <v>1556</v>
      </c>
      <c r="D16" s="378">
        <f>D13+D15</f>
        <v>1841565947.8299999</v>
      </c>
    </row>
  </sheetData>
  <mergeCells count="1">
    <mergeCell ref="A1:D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A3" sqref="A1:XFD1048576"/>
    </sheetView>
  </sheetViews>
  <sheetFormatPr defaultRowHeight="14.25" customHeight="1"/>
  <cols>
    <col min="1" max="1" width="37.25" style="368" customWidth="1"/>
    <col min="2" max="2" width="24.5" style="368" customWidth="1"/>
    <col min="3" max="3" width="37.25" style="368" customWidth="1"/>
    <col min="4" max="4" width="24.5" style="368" customWidth="1"/>
    <col min="5" max="256" width="9" style="368"/>
    <col min="257" max="257" width="37.25" style="368" customWidth="1"/>
    <col min="258" max="258" width="24.5" style="368" customWidth="1"/>
    <col min="259" max="259" width="37.25" style="368" customWidth="1"/>
    <col min="260" max="260" width="24.5" style="368" customWidth="1"/>
    <col min="261" max="512" width="9" style="368"/>
    <col min="513" max="513" width="37.25" style="368" customWidth="1"/>
    <col min="514" max="514" width="24.5" style="368" customWidth="1"/>
    <col min="515" max="515" width="37.25" style="368" customWidth="1"/>
    <col min="516" max="516" width="24.5" style="368" customWidth="1"/>
    <col min="517" max="768" width="9" style="368"/>
    <col min="769" max="769" width="37.25" style="368" customWidth="1"/>
    <col min="770" max="770" width="24.5" style="368" customWidth="1"/>
    <col min="771" max="771" width="37.25" style="368" customWidth="1"/>
    <col min="772" max="772" width="24.5" style="368" customWidth="1"/>
    <col min="773" max="1024" width="9" style="368"/>
    <col min="1025" max="1025" width="37.25" style="368" customWidth="1"/>
    <col min="1026" max="1026" width="24.5" style="368" customWidth="1"/>
    <col min="1027" max="1027" width="37.25" style="368" customWidth="1"/>
    <col min="1028" max="1028" width="24.5" style="368" customWidth="1"/>
    <col min="1029" max="1280" width="9" style="368"/>
    <col min="1281" max="1281" width="37.25" style="368" customWidth="1"/>
    <col min="1282" max="1282" width="24.5" style="368" customWidth="1"/>
    <col min="1283" max="1283" width="37.25" style="368" customWidth="1"/>
    <col min="1284" max="1284" width="24.5" style="368" customWidth="1"/>
    <col min="1285" max="1536" width="9" style="368"/>
    <col min="1537" max="1537" width="37.25" style="368" customWidth="1"/>
    <col min="1538" max="1538" width="24.5" style="368" customWidth="1"/>
    <col min="1539" max="1539" width="37.25" style="368" customWidth="1"/>
    <col min="1540" max="1540" width="24.5" style="368" customWidth="1"/>
    <col min="1541" max="1792" width="9" style="368"/>
    <col min="1793" max="1793" width="37.25" style="368" customWidth="1"/>
    <col min="1794" max="1794" width="24.5" style="368" customWidth="1"/>
    <col min="1795" max="1795" width="37.25" style="368" customWidth="1"/>
    <col min="1796" max="1796" width="24.5" style="368" customWidth="1"/>
    <col min="1797" max="2048" width="9" style="368"/>
    <col min="2049" max="2049" width="37.25" style="368" customWidth="1"/>
    <col min="2050" max="2050" width="24.5" style="368" customWidth="1"/>
    <col min="2051" max="2051" width="37.25" style="368" customWidth="1"/>
    <col min="2052" max="2052" width="24.5" style="368" customWidth="1"/>
    <col min="2053" max="2304" width="9" style="368"/>
    <col min="2305" max="2305" width="37.25" style="368" customWidth="1"/>
    <col min="2306" max="2306" width="24.5" style="368" customWidth="1"/>
    <col min="2307" max="2307" width="37.25" style="368" customWidth="1"/>
    <col min="2308" max="2308" width="24.5" style="368" customWidth="1"/>
    <col min="2309" max="2560" width="9" style="368"/>
    <col min="2561" max="2561" width="37.25" style="368" customWidth="1"/>
    <col min="2562" max="2562" width="24.5" style="368" customWidth="1"/>
    <col min="2563" max="2563" width="37.25" style="368" customWidth="1"/>
    <col min="2564" max="2564" width="24.5" style="368" customWidth="1"/>
    <col min="2565" max="2816" width="9" style="368"/>
    <col min="2817" max="2817" width="37.25" style="368" customWidth="1"/>
    <col min="2818" max="2818" width="24.5" style="368" customWidth="1"/>
    <col min="2819" max="2819" width="37.25" style="368" customWidth="1"/>
    <col min="2820" max="2820" width="24.5" style="368" customWidth="1"/>
    <col min="2821" max="3072" width="9" style="368"/>
    <col min="3073" max="3073" width="37.25" style="368" customWidth="1"/>
    <col min="3074" max="3074" width="24.5" style="368" customWidth="1"/>
    <col min="3075" max="3075" width="37.25" style="368" customWidth="1"/>
    <col min="3076" max="3076" width="24.5" style="368" customWidth="1"/>
    <col min="3077" max="3328" width="9" style="368"/>
    <col min="3329" max="3329" width="37.25" style="368" customWidth="1"/>
    <col min="3330" max="3330" width="24.5" style="368" customWidth="1"/>
    <col min="3331" max="3331" width="37.25" style="368" customWidth="1"/>
    <col min="3332" max="3332" width="24.5" style="368" customWidth="1"/>
    <col min="3333" max="3584" width="9" style="368"/>
    <col min="3585" max="3585" width="37.25" style="368" customWidth="1"/>
    <col min="3586" max="3586" width="24.5" style="368" customWidth="1"/>
    <col min="3587" max="3587" width="37.25" style="368" customWidth="1"/>
    <col min="3588" max="3588" width="24.5" style="368" customWidth="1"/>
    <col min="3589" max="3840" width="9" style="368"/>
    <col min="3841" max="3841" width="37.25" style="368" customWidth="1"/>
    <col min="3842" max="3842" width="24.5" style="368" customWidth="1"/>
    <col min="3843" max="3843" width="37.25" style="368" customWidth="1"/>
    <col min="3844" max="3844" width="24.5" style="368" customWidth="1"/>
    <col min="3845" max="4096" width="9" style="368"/>
    <col min="4097" max="4097" width="37.25" style="368" customWidth="1"/>
    <col min="4098" max="4098" width="24.5" style="368" customWidth="1"/>
    <col min="4099" max="4099" width="37.25" style="368" customWidth="1"/>
    <col min="4100" max="4100" width="24.5" style="368" customWidth="1"/>
    <col min="4101" max="4352" width="9" style="368"/>
    <col min="4353" max="4353" width="37.25" style="368" customWidth="1"/>
    <col min="4354" max="4354" width="24.5" style="368" customWidth="1"/>
    <col min="4355" max="4355" width="37.25" style="368" customWidth="1"/>
    <col min="4356" max="4356" width="24.5" style="368" customWidth="1"/>
    <col min="4357" max="4608" width="9" style="368"/>
    <col min="4609" max="4609" width="37.25" style="368" customWidth="1"/>
    <col min="4610" max="4610" width="24.5" style="368" customWidth="1"/>
    <col min="4611" max="4611" width="37.25" style="368" customWidth="1"/>
    <col min="4612" max="4612" width="24.5" style="368" customWidth="1"/>
    <col min="4613" max="4864" width="9" style="368"/>
    <col min="4865" max="4865" width="37.25" style="368" customWidth="1"/>
    <col min="4866" max="4866" width="24.5" style="368" customWidth="1"/>
    <col min="4867" max="4867" width="37.25" style="368" customWidth="1"/>
    <col min="4868" max="4868" width="24.5" style="368" customWidth="1"/>
    <col min="4869" max="5120" width="9" style="368"/>
    <col min="5121" max="5121" width="37.25" style="368" customWidth="1"/>
    <col min="5122" max="5122" width="24.5" style="368" customWidth="1"/>
    <col min="5123" max="5123" width="37.25" style="368" customWidth="1"/>
    <col min="5124" max="5124" width="24.5" style="368" customWidth="1"/>
    <col min="5125" max="5376" width="9" style="368"/>
    <col min="5377" max="5377" width="37.25" style="368" customWidth="1"/>
    <col min="5378" max="5378" width="24.5" style="368" customWidth="1"/>
    <col min="5379" max="5379" width="37.25" style="368" customWidth="1"/>
    <col min="5380" max="5380" width="24.5" style="368" customWidth="1"/>
    <col min="5381" max="5632" width="9" style="368"/>
    <col min="5633" max="5633" width="37.25" style="368" customWidth="1"/>
    <col min="5634" max="5634" width="24.5" style="368" customWidth="1"/>
    <col min="5635" max="5635" width="37.25" style="368" customWidth="1"/>
    <col min="5636" max="5636" width="24.5" style="368" customWidth="1"/>
    <col min="5637" max="5888" width="9" style="368"/>
    <col min="5889" max="5889" width="37.25" style="368" customWidth="1"/>
    <col min="5890" max="5890" width="24.5" style="368" customWidth="1"/>
    <col min="5891" max="5891" width="37.25" style="368" customWidth="1"/>
    <col min="5892" max="5892" width="24.5" style="368" customWidth="1"/>
    <col min="5893" max="6144" width="9" style="368"/>
    <col min="6145" max="6145" width="37.25" style="368" customWidth="1"/>
    <col min="6146" max="6146" width="24.5" style="368" customWidth="1"/>
    <col min="6147" max="6147" width="37.25" style="368" customWidth="1"/>
    <col min="6148" max="6148" width="24.5" style="368" customWidth="1"/>
    <col min="6149" max="6400" width="9" style="368"/>
    <col min="6401" max="6401" width="37.25" style="368" customWidth="1"/>
    <col min="6402" max="6402" width="24.5" style="368" customWidth="1"/>
    <col min="6403" max="6403" width="37.25" style="368" customWidth="1"/>
    <col min="6404" max="6404" width="24.5" style="368" customWidth="1"/>
    <col min="6405" max="6656" width="9" style="368"/>
    <col min="6657" max="6657" width="37.25" style="368" customWidth="1"/>
    <col min="6658" max="6658" width="24.5" style="368" customWidth="1"/>
    <col min="6659" max="6659" width="37.25" style="368" customWidth="1"/>
    <col min="6660" max="6660" width="24.5" style="368" customWidth="1"/>
    <col min="6661" max="6912" width="9" style="368"/>
    <col min="6913" max="6913" width="37.25" style="368" customWidth="1"/>
    <col min="6914" max="6914" width="24.5" style="368" customWidth="1"/>
    <col min="6915" max="6915" width="37.25" style="368" customWidth="1"/>
    <col min="6916" max="6916" width="24.5" style="368" customWidth="1"/>
    <col min="6917" max="7168" width="9" style="368"/>
    <col min="7169" max="7169" width="37.25" style="368" customWidth="1"/>
    <col min="7170" max="7170" width="24.5" style="368" customWidth="1"/>
    <col min="7171" max="7171" width="37.25" style="368" customWidth="1"/>
    <col min="7172" max="7172" width="24.5" style="368" customWidth="1"/>
    <col min="7173" max="7424" width="9" style="368"/>
    <col min="7425" max="7425" width="37.25" style="368" customWidth="1"/>
    <col min="7426" max="7426" width="24.5" style="368" customWidth="1"/>
    <col min="7427" max="7427" width="37.25" style="368" customWidth="1"/>
    <col min="7428" max="7428" width="24.5" style="368" customWidth="1"/>
    <col min="7429" max="7680" width="9" style="368"/>
    <col min="7681" max="7681" width="37.25" style="368" customWidth="1"/>
    <col min="7682" max="7682" width="24.5" style="368" customWidth="1"/>
    <col min="7683" max="7683" width="37.25" style="368" customWidth="1"/>
    <col min="7684" max="7684" width="24.5" style="368" customWidth="1"/>
    <col min="7685" max="7936" width="9" style="368"/>
    <col min="7937" max="7937" width="37.25" style="368" customWidth="1"/>
    <col min="7938" max="7938" width="24.5" style="368" customWidth="1"/>
    <col min="7939" max="7939" width="37.25" style="368" customWidth="1"/>
    <col min="7940" max="7940" width="24.5" style="368" customWidth="1"/>
    <col min="7941" max="8192" width="9" style="368"/>
    <col min="8193" max="8193" width="37.25" style="368" customWidth="1"/>
    <col min="8194" max="8194" width="24.5" style="368" customWidth="1"/>
    <col min="8195" max="8195" width="37.25" style="368" customWidth="1"/>
    <col min="8196" max="8196" width="24.5" style="368" customWidth="1"/>
    <col min="8197" max="8448" width="9" style="368"/>
    <col min="8449" max="8449" width="37.25" style="368" customWidth="1"/>
    <col min="8450" max="8450" width="24.5" style="368" customWidth="1"/>
    <col min="8451" max="8451" width="37.25" style="368" customWidth="1"/>
    <col min="8452" max="8452" width="24.5" style="368" customWidth="1"/>
    <col min="8453" max="8704" width="9" style="368"/>
    <col min="8705" max="8705" width="37.25" style="368" customWidth="1"/>
    <col min="8706" max="8706" width="24.5" style="368" customWidth="1"/>
    <col min="8707" max="8707" width="37.25" style="368" customWidth="1"/>
    <col min="8708" max="8708" width="24.5" style="368" customWidth="1"/>
    <col min="8709" max="8960" width="9" style="368"/>
    <col min="8961" max="8961" width="37.25" style="368" customWidth="1"/>
    <col min="8962" max="8962" width="24.5" style="368" customWidth="1"/>
    <col min="8963" max="8963" width="37.25" style="368" customWidth="1"/>
    <col min="8964" max="8964" width="24.5" style="368" customWidth="1"/>
    <col min="8965" max="9216" width="9" style="368"/>
    <col min="9217" max="9217" width="37.25" style="368" customWidth="1"/>
    <col min="9218" max="9218" width="24.5" style="368" customWidth="1"/>
    <col min="9219" max="9219" width="37.25" style="368" customWidth="1"/>
    <col min="9220" max="9220" width="24.5" style="368" customWidth="1"/>
    <col min="9221" max="9472" width="9" style="368"/>
    <col min="9473" max="9473" width="37.25" style="368" customWidth="1"/>
    <col min="9474" max="9474" width="24.5" style="368" customWidth="1"/>
    <col min="9475" max="9475" width="37.25" style="368" customWidth="1"/>
    <col min="9476" max="9476" width="24.5" style="368" customWidth="1"/>
    <col min="9477" max="9728" width="9" style="368"/>
    <col min="9729" max="9729" width="37.25" style="368" customWidth="1"/>
    <col min="9730" max="9730" width="24.5" style="368" customWidth="1"/>
    <col min="9731" max="9731" width="37.25" style="368" customWidth="1"/>
    <col min="9732" max="9732" width="24.5" style="368" customWidth="1"/>
    <col min="9733" max="9984" width="9" style="368"/>
    <col min="9985" max="9985" width="37.25" style="368" customWidth="1"/>
    <col min="9986" max="9986" width="24.5" style="368" customWidth="1"/>
    <col min="9987" max="9987" width="37.25" style="368" customWidth="1"/>
    <col min="9988" max="9988" width="24.5" style="368" customWidth="1"/>
    <col min="9989" max="10240" width="9" style="368"/>
    <col min="10241" max="10241" width="37.25" style="368" customWidth="1"/>
    <col min="10242" max="10242" width="24.5" style="368" customWidth="1"/>
    <col min="10243" max="10243" width="37.25" style="368" customWidth="1"/>
    <col min="10244" max="10244" width="24.5" style="368" customWidth="1"/>
    <col min="10245" max="10496" width="9" style="368"/>
    <col min="10497" max="10497" width="37.25" style="368" customWidth="1"/>
    <col min="10498" max="10498" width="24.5" style="368" customWidth="1"/>
    <col min="10499" max="10499" width="37.25" style="368" customWidth="1"/>
    <col min="10500" max="10500" width="24.5" style="368" customWidth="1"/>
    <col min="10501" max="10752" width="9" style="368"/>
    <col min="10753" max="10753" width="37.25" style="368" customWidth="1"/>
    <col min="10754" max="10754" width="24.5" style="368" customWidth="1"/>
    <col min="10755" max="10755" width="37.25" style="368" customWidth="1"/>
    <col min="10756" max="10756" width="24.5" style="368" customWidth="1"/>
    <col min="10757" max="11008" width="9" style="368"/>
    <col min="11009" max="11009" width="37.25" style="368" customWidth="1"/>
    <col min="11010" max="11010" width="24.5" style="368" customWidth="1"/>
    <col min="11011" max="11011" width="37.25" style="368" customWidth="1"/>
    <col min="11012" max="11012" width="24.5" style="368" customWidth="1"/>
    <col min="11013" max="11264" width="9" style="368"/>
    <col min="11265" max="11265" width="37.25" style="368" customWidth="1"/>
    <col min="11266" max="11266" width="24.5" style="368" customWidth="1"/>
    <col min="11267" max="11267" width="37.25" style="368" customWidth="1"/>
    <col min="11268" max="11268" width="24.5" style="368" customWidth="1"/>
    <col min="11269" max="11520" width="9" style="368"/>
    <col min="11521" max="11521" width="37.25" style="368" customWidth="1"/>
    <col min="11522" max="11522" width="24.5" style="368" customWidth="1"/>
    <col min="11523" max="11523" width="37.25" style="368" customWidth="1"/>
    <col min="11524" max="11524" width="24.5" style="368" customWidth="1"/>
    <col min="11525" max="11776" width="9" style="368"/>
    <col min="11777" max="11777" width="37.25" style="368" customWidth="1"/>
    <col min="11778" max="11778" width="24.5" style="368" customWidth="1"/>
    <col min="11779" max="11779" width="37.25" style="368" customWidth="1"/>
    <col min="11780" max="11780" width="24.5" style="368" customWidth="1"/>
    <col min="11781" max="12032" width="9" style="368"/>
    <col min="12033" max="12033" width="37.25" style="368" customWidth="1"/>
    <col min="12034" max="12034" width="24.5" style="368" customWidth="1"/>
    <col min="12035" max="12035" width="37.25" style="368" customWidth="1"/>
    <col min="12036" max="12036" width="24.5" style="368" customWidth="1"/>
    <col min="12037" max="12288" width="9" style="368"/>
    <col min="12289" max="12289" width="37.25" style="368" customWidth="1"/>
    <col min="12290" max="12290" width="24.5" style="368" customWidth="1"/>
    <col min="12291" max="12291" width="37.25" style="368" customWidth="1"/>
    <col min="12292" max="12292" width="24.5" style="368" customWidth="1"/>
    <col min="12293" max="12544" width="9" style="368"/>
    <col min="12545" max="12545" width="37.25" style="368" customWidth="1"/>
    <col min="12546" max="12546" width="24.5" style="368" customWidth="1"/>
    <col min="12547" max="12547" width="37.25" style="368" customWidth="1"/>
    <col min="12548" max="12548" width="24.5" style="368" customWidth="1"/>
    <col min="12549" max="12800" width="9" style="368"/>
    <col min="12801" max="12801" width="37.25" style="368" customWidth="1"/>
    <col min="12802" max="12802" width="24.5" style="368" customWidth="1"/>
    <col min="12803" max="12803" width="37.25" style="368" customWidth="1"/>
    <col min="12804" max="12804" width="24.5" style="368" customWidth="1"/>
    <col min="12805" max="13056" width="9" style="368"/>
    <col min="13057" max="13057" width="37.25" style="368" customWidth="1"/>
    <col min="13058" max="13058" width="24.5" style="368" customWidth="1"/>
    <col min="13059" max="13059" width="37.25" style="368" customWidth="1"/>
    <col min="13060" max="13060" width="24.5" style="368" customWidth="1"/>
    <col min="13061" max="13312" width="9" style="368"/>
    <col min="13313" max="13313" width="37.25" style="368" customWidth="1"/>
    <col min="13314" max="13314" width="24.5" style="368" customWidth="1"/>
    <col min="13315" max="13315" width="37.25" style="368" customWidth="1"/>
    <col min="13316" max="13316" width="24.5" style="368" customWidth="1"/>
    <col min="13317" max="13568" width="9" style="368"/>
    <col min="13569" max="13569" width="37.25" style="368" customWidth="1"/>
    <col min="13570" max="13570" width="24.5" style="368" customWidth="1"/>
    <col min="13571" max="13571" width="37.25" style="368" customWidth="1"/>
    <col min="13572" max="13572" width="24.5" style="368" customWidth="1"/>
    <col min="13573" max="13824" width="9" style="368"/>
    <col min="13825" max="13825" width="37.25" style="368" customWidth="1"/>
    <col min="13826" max="13826" width="24.5" style="368" customWidth="1"/>
    <col min="13827" max="13827" width="37.25" style="368" customWidth="1"/>
    <col min="13828" max="13828" width="24.5" style="368" customWidth="1"/>
    <col min="13829" max="14080" width="9" style="368"/>
    <col min="14081" max="14081" width="37.25" style="368" customWidth="1"/>
    <col min="14082" max="14082" width="24.5" style="368" customWidth="1"/>
    <col min="14083" max="14083" width="37.25" style="368" customWidth="1"/>
    <col min="14084" max="14084" width="24.5" style="368" customWidth="1"/>
    <col min="14085" max="14336" width="9" style="368"/>
    <col min="14337" max="14337" width="37.25" style="368" customWidth="1"/>
    <col min="14338" max="14338" width="24.5" style="368" customWidth="1"/>
    <col min="14339" max="14339" width="37.25" style="368" customWidth="1"/>
    <col min="14340" max="14340" width="24.5" style="368" customWidth="1"/>
    <col min="14341" max="14592" width="9" style="368"/>
    <col min="14593" max="14593" width="37.25" style="368" customWidth="1"/>
    <col min="14594" max="14594" width="24.5" style="368" customWidth="1"/>
    <col min="14595" max="14595" width="37.25" style="368" customWidth="1"/>
    <col min="14596" max="14596" width="24.5" style="368" customWidth="1"/>
    <col min="14597" max="14848" width="9" style="368"/>
    <col min="14849" max="14849" width="37.25" style="368" customWidth="1"/>
    <col min="14850" max="14850" width="24.5" style="368" customWidth="1"/>
    <col min="14851" max="14851" width="37.25" style="368" customWidth="1"/>
    <col min="14852" max="14852" width="24.5" style="368" customWidth="1"/>
    <col min="14853" max="15104" width="9" style="368"/>
    <col min="15105" max="15105" width="37.25" style="368" customWidth="1"/>
    <col min="15106" max="15106" width="24.5" style="368" customWidth="1"/>
    <col min="15107" max="15107" width="37.25" style="368" customWidth="1"/>
    <col min="15108" max="15108" width="24.5" style="368" customWidth="1"/>
    <col min="15109" max="15360" width="9" style="368"/>
    <col min="15361" max="15361" width="37.25" style="368" customWidth="1"/>
    <col min="15362" max="15362" width="24.5" style="368" customWidth="1"/>
    <col min="15363" max="15363" width="37.25" style="368" customWidth="1"/>
    <col min="15364" max="15364" width="24.5" style="368" customWidth="1"/>
    <col min="15365" max="15616" width="9" style="368"/>
    <col min="15617" max="15617" width="37.25" style="368" customWidth="1"/>
    <col min="15618" max="15618" width="24.5" style="368" customWidth="1"/>
    <col min="15619" max="15619" width="37.25" style="368" customWidth="1"/>
    <col min="15620" max="15620" width="24.5" style="368" customWidth="1"/>
    <col min="15621" max="15872" width="9" style="368"/>
    <col min="15873" max="15873" width="37.25" style="368" customWidth="1"/>
    <col min="15874" max="15874" width="24.5" style="368" customWidth="1"/>
    <col min="15875" max="15875" width="37.25" style="368" customWidth="1"/>
    <col min="15876" max="15876" width="24.5" style="368" customWidth="1"/>
    <col min="15877" max="16128" width="9" style="368"/>
    <col min="16129" max="16129" width="37.25" style="368" customWidth="1"/>
    <col min="16130" max="16130" width="24.5" style="368" customWidth="1"/>
    <col min="16131" max="16131" width="37.25" style="368" customWidth="1"/>
    <col min="16132" max="16132" width="24.5" style="368" customWidth="1"/>
    <col min="16133" max="16384" width="9" style="368"/>
  </cols>
  <sheetData>
    <row r="1" spans="1:4" ht="36.75" customHeight="1">
      <c r="A1" s="722" t="s">
        <v>2030</v>
      </c>
      <c r="B1" s="722"/>
      <c r="C1" s="722"/>
      <c r="D1" s="722"/>
    </row>
    <row r="2" spans="1:4" ht="18.75" customHeight="1">
      <c r="A2" s="369"/>
      <c r="B2" s="370"/>
      <c r="C2" s="369"/>
      <c r="D2" s="371" t="s">
        <v>2031</v>
      </c>
    </row>
    <row r="3" spans="1:4" ht="18.75" customHeight="1" thickBot="1">
      <c r="A3" s="343" t="s">
        <v>1526</v>
      </c>
      <c r="B3" s="371"/>
      <c r="C3" s="372"/>
      <c r="D3" s="371" t="s">
        <v>1527</v>
      </c>
    </row>
    <row r="4" spans="1:4" ht="27" customHeight="1" thickBot="1">
      <c r="A4" s="239" t="s">
        <v>1528</v>
      </c>
      <c r="B4" s="373" t="s">
        <v>1529</v>
      </c>
      <c r="C4" s="255" t="s">
        <v>1528</v>
      </c>
      <c r="D4" s="373" t="s">
        <v>1529</v>
      </c>
    </row>
    <row r="5" spans="1:4" ht="24" customHeight="1">
      <c r="A5" s="374" t="s">
        <v>1530</v>
      </c>
      <c r="B5" s="216">
        <v>1016799099.29</v>
      </c>
      <c r="C5" s="256" t="s">
        <v>1531</v>
      </c>
      <c r="D5" s="216">
        <v>1268454765.0999999</v>
      </c>
    </row>
    <row r="6" spans="1:4" ht="24" customHeight="1">
      <c r="A6" s="244" t="s">
        <v>1532</v>
      </c>
      <c r="B6" s="217">
        <v>81921969.040000007</v>
      </c>
      <c r="C6" s="250" t="s">
        <v>1533</v>
      </c>
      <c r="D6" s="217"/>
    </row>
    <row r="7" spans="1:4" ht="24" customHeight="1">
      <c r="A7" s="244" t="s">
        <v>1534</v>
      </c>
      <c r="B7" s="217">
        <v>1085000000</v>
      </c>
      <c r="C7" s="250" t="s">
        <v>1535</v>
      </c>
      <c r="D7" s="217"/>
    </row>
    <row r="8" spans="1:4" ht="24" customHeight="1">
      <c r="A8" s="244" t="s">
        <v>1536</v>
      </c>
      <c r="B8" s="217">
        <v>487793.21</v>
      </c>
      <c r="C8" s="250" t="s">
        <v>1537</v>
      </c>
      <c r="D8" s="217"/>
    </row>
    <row r="9" spans="1:4" ht="24" customHeight="1">
      <c r="A9" s="244" t="s">
        <v>1538</v>
      </c>
      <c r="B9" s="217"/>
      <c r="C9" s="250" t="s">
        <v>1539</v>
      </c>
      <c r="D9" s="217"/>
    </row>
    <row r="10" spans="1:4" ht="24" customHeight="1">
      <c r="A10" s="244" t="s">
        <v>1540</v>
      </c>
      <c r="B10" s="217">
        <v>430053.77</v>
      </c>
      <c r="C10" s="375" t="s">
        <v>1541</v>
      </c>
      <c r="D10" s="258" t="s">
        <v>1542</v>
      </c>
    </row>
    <row r="11" spans="1:4" ht="24" customHeight="1">
      <c r="A11" s="244" t="s">
        <v>1543</v>
      </c>
      <c r="B11" s="217"/>
      <c r="C11" s="250" t="s">
        <v>1544</v>
      </c>
      <c r="D11" s="217"/>
    </row>
    <row r="12" spans="1:4" ht="24" customHeight="1">
      <c r="A12" s="244" t="s">
        <v>1545</v>
      </c>
      <c r="B12" s="217">
        <f>SUM(B5:B8)+B11</f>
        <v>2184208861.54</v>
      </c>
      <c r="C12" s="250" t="s">
        <v>1546</v>
      </c>
      <c r="D12" s="217">
        <f>D5+D7+D8+D9+D11</f>
        <v>1268454765.0999999</v>
      </c>
    </row>
    <row r="13" spans="1:4" ht="24" customHeight="1">
      <c r="A13" s="244" t="s">
        <v>1547</v>
      </c>
      <c r="B13" s="217"/>
      <c r="C13" s="250" t="s">
        <v>1548</v>
      </c>
      <c r="D13" s="217"/>
    </row>
    <row r="14" spans="1:4" ht="24" customHeight="1">
      <c r="A14" s="244" t="s">
        <v>1549</v>
      </c>
      <c r="B14" s="217"/>
      <c r="C14" s="250" t="s">
        <v>1550</v>
      </c>
      <c r="D14" s="217"/>
    </row>
    <row r="15" spans="1:4" ht="24" customHeight="1">
      <c r="A15" s="244" t="s">
        <v>1551</v>
      </c>
      <c r="B15" s="217">
        <f>SUM(B12:B14)</f>
        <v>2184208861.54</v>
      </c>
      <c r="C15" s="250" t="s">
        <v>1552</v>
      </c>
      <c r="D15" s="217">
        <f>SUM(D12:D14)</f>
        <v>1268454765.0999999</v>
      </c>
    </row>
    <row r="16" spans="1:4" ht="24" customHeight="1">
      <c r="A16" s="332" t="s">
        <v>1542</v>
      </c>
      <c r="B16" s="258" t="s">
        <v>1542</v>
      </c>
      <c r="C16" s="250" t="s">
        <v>1553</v>
      </c>
      <c r="D16" s="217">
        <f>B15-D15</f>
        <v>915754096.44000006</v>
      </c>
    </row>
    <row r="17" spans="1:4" ht="24" customHeight="1" thickBot="1">
      <c r="A17" s="376" t="s">
        <v>1554</v>
      </c>
      <c r="B17" s="217">
        <v>4066987973.1000004</v>
      </c>
      <c r="C17" s="377" t="s">
        <v>1555</v>
      </c>
      <c r="D17" s="260">
        <f>B17+D16</f>
        <v>4982742069.5400009</v>
      </c>
    </row>
    <row r="18" spans="1:4" ht="27" customHeight="1" thickBot="1">
      <c r="A18" s="239" t="s">
        <v>1556</v>
      </c>
      <c r="B18" s="378">
        <f>B15+B17</f>
        <v>6251196834.6400003</v>
      </c>
      <c r="C18" s="255" t="s">
        <v>1556</v>
      </c>
      <c r="D18" s="378">
        <f>D15+D17</f>
        <v>6251196834.6400013</v>
      </c>
    </row>
  </sheetData>
  <mergeCells count="1">
    <mergeCell ref="A1:D1"/>
  </mergeCells>
  <phoneticPr fontId="2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A3" sqref="A1:XFD1048576"/>
    </sheetView>
  </sheetViews>
  <sheetFormatPr defaultRowHeight="14.25" customHeight="1"/>
  <cols>
    <col min="1" max="1" width="37.25" style="368" customWidth="1"/>
    <col min="2" max="2" width="24.5" style="368" customWidth="1"/>
    <col min="3" max="3" width="37.25" style="368" customWidth="1"/>
    <col min="4" max="4" width="24.5" style="368" customWidth="1"/>
    <col min="5" max="256" width="9" style="368"/>
    <col min="257" max="257" width="37.25" style="368" customWidth="1"/>
    <col min="258" max="258" width="24.5" style="368" customWidth="1"/>
    <col min="259" max="259" width="37.25" style="368" customWidth="1"/>
    <col min="260" max="260" width="24.5" style="368" customWidth="1"/>
    <col min="261" max="512" width="9" style="368"/>
    <col min="513" max="513" width="37.25" style="368" customWidth="1"/>
    <col min="514" max="514" width="24.5" style="368" customWidth="1"/>
    <col min="515" max="515" width="37.25" style="368" customWidth="1"/>
    <col min="516" max="516" width="24.5" style="368" customWidth="1"/>
    <col min="517" max="768" width="9" style="368"/>
    <col min="769" max="769" width="37.25" style="368" customWidth="1"/>
    <col min="770" max="770" width="24.5" style="368" customWidth="1"/>
    <col min="771" max="771" width="37.25" style="368" customWidth="1"/>
    <col min="772" max="772" width="24.5" style="368" customWidth="1"/>
    <col min="773" max="1024" width="9" style="368"/>
    <col min="1025" max="1025" width="37.25" style="368" customWidth="1"/>
    <col min="1026" max="1026" width="24.5" style="368" customWidth="1"/>
    <col min="1027" max="1027" width="37.25" style="368" customWidth="1"/>
    <col min="1028" max="1028" width="24.5" style="368" customWidth="1"/>
    <col min="1029" max="1280" width="9" style="368"/>
    <col min="1281" max="1281" width="37.25" style="368" customWidth="1"/>
    <col min="1282" max="1282" width="24.5" style="368" customWidth="1"/>
    <col min="1283" max="1283" width="37.25" style="368" customWidth="1"/>
    <col min="1284" max="1284" width="24.5" style="368" customWidth="1"/>
    <col min="1285" max="1536" width="9" style="368"/>
    <col min="1537" max="1537" width="37.25" style="368" customWidth="1"/>
    <col min="1538" max="1538" width="24.5" style="368" customWidth="1"/>
    <col min="1539" max="1539" width="37.25" style="368" customWidth="1"/>
    <col min="1540" max="1540" width="24.5" style="368" customWidth="1"/>
    <col min="1541" max="1792" width="9" style="368"/>
    <col min="1793" max="1793" width="37.25" style="368" customWidth="1"/>
    <col min="1794" max="1794" width="24.5" style="368" customWidth="1"/>
    <col min="1795" max="1795" width="37.25" style="368" customWidth="1"/>
    <col min="1796" max="1796" width="24.5" style="368" customWidth="1"/>
    <col min="1797" max="2048" width="9" style="368"/>
    <col min="2049" max="2049" width="37.25" style="368" customWidth="1"/>
    <col min="2050" max="2050" width="24.5" style="368" customWidth="1"/>
    <col min="2051" max="2051" width="37.25" style="368" customWidth="1"/>
    <col min="2052" max="2052" width="24.5" style="368" customWidth="1"/>
    <col min="2053" max="2304" width="9" style="368"/>
    <col min="2305" max="2305" width="37.25" style="368" customWidth="1"/>
    <col min="2306" max="2306" width="24.5" style="368" customWidth="1"/>
    <col min="2307" max="2307" width="37.25" style="368" customWidth="1"/>
    <col min="2308" max="2308" width="24.5" style="368" customWidth="1"/>
    <col min="2309" max="2560" width="9" style="368"/>
    <col min="2561" max="2561" width="37.25" style="368" customWidth="1"/>
    <col min="2562" max="2562" width="24.5" style="368" customWidth="1"/>
    <col min="2563" max="2563" width="37.25" style="368" customWidth="1"/>
    <col min="2564" max="2564" width="24.5" style="368" customWidth="1"/>
    <col min="2565" max="2816" width="9" style="368"/>
    <col min="2817" max="2817" width="37.25" style="368" customWidth="1"/>
    <col min="2818" max="2818" width="24.5" style="368" customWidth="1"/>
    <col min="2819" max="2819" width="37.25" style="368" customWidth="1"/>
    <col min="2820" max="2820" width="24.5" style="368" customWidth="1"/>
    <col min="2821" max="3072" width="9" style="368"/>
    <col min="3073" max="3073" width="37.25" style="368" customWidth="1"/>
    <col min="3074" max="3074" width="24.5" style="368" customWidth="1"/>
    <col min="3075" max="3075" width="37.25" style="368" customWidth="1"/>
    <col min="3076" max="3076" width="24.5" style="368" customWidth="1"/>
    <col min="3077" max="3328" width="9" style="368"/>
    <col min="3329" max="3329" width="37.25" style="368" customWidth="1"/>
    <col min="3330" max="3330" width="24.5" style="368" customWidth="1"/>
    <col min="3331" max="3331" width="37.25" style="368" customWidth="1"/>
    <col min="3332" max="3332" width="24.5" style="368" customWidth="1"/>
    <col min="3333" max="3584" width="9" style="368"/>
    <col min="3585" max="3585" width="37.25" style="368" customWidth="1"/>
    <col min="3586" max="3586" width="24.5" style="368" customWidth="1"/>
    <col min="3587" max="3587" width="37.25" style="368" customWidth="1"/>
    <col min="3588" max="3588" width="24.5" style="368" customWidth="1"/>
    <col min="3589" max="3840" width="9" style="368"/>
    <col min="3841" max="3841" width="37.25" style="368" customWidth="1"/>
    <col min="3842" max="3842" width="24.5" style="368" customWidth="1"/>
    <col min="3843" max="3843" width="37.25" style="368" customWidth="1"/>
    <col min="3844" max="3844" width="24.5" style="368" customWidth="1"/>
    <col min="3845" max="4096" width="9" style="368"/>
    <col min="4097" max="4097" width="37.25" style="368" customWidth="1"/>
    <col min="4098" max="4098" width="24.5" style="368" customWidth="1"/>
    <col min="4099" max="4099" width="37.25" style="368" customWidth="1"/>
    <col min="4100" max="4100" width="24.5" style="368" customWidth="1"/>
    <col min="4101" max="4352" width="9" style="368"/>
    <col min="4353" max="4353" width="37.25" style="368" customWidth="1"/>
    <col min="4354" max="4354" width="24.5" style="368" customWidth="1"/>
    <col min="4355" max="4355" width="37.25" style="368" customWidth="1"/>
    <col min="4356" max="4356" width="24.5" style="368" customWidth="1"/>
    <col min="4357" max="4608" width="9" style="368"/>
    <col min="4609" max="4609" width="37.25" style="368" customWidth="1"/>
    <col min="4610" max="4610" width="24.5" style="368" customWidth="1"/>
    <col min="4611" max="4611" width="37.25" style="368" customWidth="1"/>
    <col min="4612" max="4612" width="24.5" style="368" customWidth="1"/>
    <col min="4613" max="4864" width="9" style="368"/>
    <col min="4865" max="4865" width="37.25" style="368" customWidth="1"/>
    <col min="4866" max="4866" width="24.5" style="368" customWidth="1"/>
    <col min="4867" max="4867" width="37.25" style="368" customWidth="1"/>
    <col min="4868" max="4868" width="24.5" style="368" customWidth="1"/>
    <col min="4869" max="5120" width="9" style="368"/>
    <col min="5121" max="5121" width="37.25" style="368" customWidth="1"/>
    <col min="5122" max="5122" width="24.5" style="368" customWidth="1"/>
    <col min="5123" max="5123" width="37.25" style="368" customWidth="1"/>
    <col min="5124" max="5124" width="24.5" style="368" customWidth="1"/>
    <col min="5125" max="5376" width="9" style="368"/>
    <col min="5377" max="5377" width="37.25" style="368" customWidth="1"/>
    <col min="5378" max="5378" width="24.5" style="368" customWidth="1"/>
    <col min="5379" max="5379" width="37.25" style="368" customWidth="1"/>
    <col min="5380" max="5380" width="24.5" style="368" customWidth="1"/>
    <col min="5381" max="5632" width="9" style="368"/>
    <col min="5633" max="5633" width="37.25" style="368" customWidth="1"/>
    <col min="5634" max="5634" width="24.5" style="368" customWidth="1"/>
    <col min="5635" max="5635" width="37.25" style="368" customWidth="1"/>
    <col min="5636" max="5636" width="24.5" style="368" customWidth="1"/>
    <col min="5637" max="5888" width="9" style="368"/>
    <col min="5889" max="5889" width="37.25" style="368" customWidth="1"/>
    <col min="5890" max="5890" width="24.5" style="368" customWidth="1"/>
    <col min="5891" max="5891" width="37.25" style="368" customWidth="1"/>
    <col min="5892" max="5892" width="24.5" style="368" customWidth="1"/>
    <col min="5893" max="6144" width="9" style="368"/>
    <col min="6145" max="6145" width="37.25" style="368" customWidth="1"/>
    <col min="6146" max="6146" width="24.5" style="368" customWidth="1"/>
    <col min="6147" max="6147" width="37.25" style="368" customWidth="1"/>
    <col min="6148" max="6148" width="24.5" style="368" customWidth="1"/>
    <col min="6149" max="6400" width="9" style="368"/>
    <col min="6401" max="6401" width="37.25" style="368" customWidth="1"/>
    <col min="6402" max="6402" width="24.5" style="368" customWidth="1"/>
    <col min="6403" max="6403" width="37.25" style="368" customWidth="1"/>
    <col min="6404" max="6404" width="24.5" style="368" customWidth="1"/>
    <col min="6405" max="6656" width="9" style="368"/>
    <col min="6657" max="6657" width="37.25" style="368" customWidth="1"/>
    <col min="6658" max="6658" width="24.5" style="368" customWidth="1"/>
    <col min="6659" max="6659" width="37.25" style="368" customWidth="1"/>
    <col min="6660" max="6660" width="24.5" style="368" customWidth="1"/>
    <col min="6661" max="6912" width="9" style="368"/>
    <col min="6913" max="6913" width="37.25" style="368" customWidth="1"/>
    <col min="6914" max="6914" width="24.5" style="368" customWidth="1"/>
    <col min="6915" max="6915" width="37.25" style="368" customWidth="1"/>
    <col min="6916" max="6916" width="24.5" style="368" customWidth="1"/>
    <col min="6917" max="7168" width="9" style="368"/>
    <col min="7169" max="7169" width="37.25" style="368" customWidth="1"/>
    <col min="7170" max="7170" width="24.5" style="368" customWidth="1"/>
    <col min="7171" max="7171" width="37.25" style="368" customWidth="1"/>
    <col min="7172" max="7172" width="24.5" style="368" customWidth="1"/>
    <col min="7173" max="7424" width="9" style="368"/>
    <col min="7425" max="7425" width="37.25" style="368" customWidth="1"/>
    <col min="7426" max="7426" width="24.5" style="368" customWidth="1"/>
    <col min="7427" max="7427" width="37.25" style="368" customWidth="1"/>
    <col min="7428" max="7428" width="24.5" style="368" customWidth="1"/>
    <col min="7429" max="7680" width="9" style="368"/>
    <col min="7681" max="7681" width="37.25" style="368" customWidth="1"/>
    <col min="7682" max="7682" width="24.5" style="368" customWidth="1"/>
    <col min="7683" max="7683" width="37.25" style="368" customWidth="1"/>
    <col min="7684" max="7684" width="24.5" style="368" customWidth="1"/>
    <col min="7685" max="7936" width="9" style="368"/>
    <col min="7937" max="7937" width="37.25" style="368" customWidth="1"/>
    <col min="7938" max="7938" width="24.5" style="368" customWidth="1"/>
    <col min="7939" max="7939" width="37.25" style="368" customWidth="1"/>
    <col min="7940" max="7940" width="24.5" style="368" customWidth="1"/>
    <col min="7941" max="8192" width="9" style="368"/>
    <col min="8193" max="8193" width="37.25" style="368" customWidth="1"/>
    <col min="8194" max="8194" width="24.5" style="368" customWidth="1"/>
    <col min="8195" max="8195" width="37.25" style="368" customWidth="1"/>
    <col min="8196" max="8196" width="24.5" style="368" customWidth="1"/>
    <col min="8197" max="8448" width="9" style="368"/>
    <col min="8449" max="8449" width="37.25" style="368" customWidth="1"/>
    <col min="8450" max="8450" width="24.5" style="368" customWidth="1"/>
    <col min="8451" max="8451" width="37.25" style="368" customWidth="1"/>
    <col min="8452" max="8452" width="24.5" style="368" customWidth="1"/>
    <col min="8453" max="8704" width="9" style="368"/>
    <col min="8705" max="8705" width="37.25" style="368" customWidth="1"/>
    <col min="8706" max="8706" width="24.5" style="368" customWidth="1"/>
    <col min="8707" max="8707" width="37.25" style="368" customWidth="1"/>
    <col min="8708" max="8708" width="24.5" style="368" customWidth="1"/>
    <col min="8709" max="8960" width="9" style="368"/>
    <col min="8961" max="8961" width="37.25" style="368" customWidth="1"/>
    <col min="8962" max="8962" width="24.5" style="368" customWidth="1"/>
    <col min="8963" max="8963" width="37.25" style="368" customWidth="1"/>
    <col min="8964" max="8964" width="24.5" style="368" customWidth="1"/>
    <col min="8965" max="9216" width="9" style="368"/>
    <col min="9217" max="9217" width="37.25" style="368" customWidth="1"/>
    <col min="9218" max="9218" width="24.5" style="368" customWidth="1"/>
    <col min="9219" max="9219" width="37.25" style="368" customWidth="1"/>
    <col min="9220" max="9220" width="24.5" style="368" customWidth="1"/>
    <col min="9221" max="9472" width="9" style="368"/>
    <col min="9473" max="9473" width="37.25" style="368" customWidth="1"/>
    <col min="9474" max="9474" width="24.5" style="368" customWidth="1"/>
    <col min="9475" max="9475" width="37.25" style="368" customWidth="1"/>
    <col min="9476" max="9476" width="24.5" style="368" customWidth="1"/>
    <col min="9477" max="9728" width="9" style="368"/>
    <col min="9729" max="9729" width="37.25" style="368" customWidth="1"/>
    <col min="9730" max="9730" width="24.5" style="368" customWidth="1"/>
    <col min="9731" max="9731" width="37.25" style="368" customWidth="1"/>
    <col min="9732" max="9732" width="24.5" style="368" customWidth="1"/>
    <col min="9733" max="9984" width="9" style="368"/>
    <col min="9985" max="9985" width="37.25" style="368" customWidth="1"/>
    <col min="9986" max="9986" width="24.5" style="368" customWidth="1"/>
    <col min="9987" max="9987" width="37.25" style="368" customWidth="1"/>
    <col min="9988" max="9988" width="24.5" style="368" customWidth="1"/>
    <col min="9989" max="10240" width="9" style="368"/>
    <col min="10241" max="10241" width="37.25" style="368" customWidth="1"/>
    <col min="10242" max="10242" width="24.5" style="368" customWidth="1"/>
    <col min="10243" max="10243" width="37.25" style="368" customWidth="1"/>
    <col min="10244" max="10244" width="24.5" style="368" customWidth="1"/>
    <col min="10245" max="10496" width="9" style="368"/>
    <col min="10497" max="10497" width="37.25" style="368" customWidth="1"/>
    <col min="10498" max="10498" width="24.5" style="368" customWidth="1"/>
    <col min="10499" max="10499" width="37.25" style="368" customWidth="1"/>
    <col min="10500" max="10500" width="24.5" style="368" customWidth="1"/>
    <col min="10501" max="10752" width="9" style="368"/>
    <col min="10753" max="10753" width="37.25" style="368" customWidth="1"/>
    <col min="10754" max="10754" width="24.5" style="368" customWidth="1"/>
    <col min="10755" max="10755" width="37.25" style="368" customWidth="1"/>
    <col min="10756" max="10756" width="24.5" style="368" customWidth="1"/>
    <col min="10757" max="11008" width="9" style="368"/>
    <col min="11009" max="11009" width="37.25" style="368" customWidth="1"/>
    <col min="11010" max="11010" width="24.5" style="368" customWidth="1"/>
    <col min="11011" max="11011" width="37.25" style="368" customWidth="1"/>
    <col min="11012" max="11012" width="24.5" style="368" customWidth="1"/>
    <col min="11013" max="11264" width="9" style="368"/>
    <col min="11265" max="11265" width="37.25" style="368" customWidth="1"/>
    <col min="11266" max="11266" width="24.5" style="368" customWidth="1"/>
    <col min="11267" max="11267" width="37.25" style="368" customWidth="1"/>
    <col min="11268" max="11268" width="24.5" style="368" customWidth="1"/>
    <col min="11269" max="11520" width="9" style="368"/>
    <col min="11521" max="11521" width="37.25" style="368" customWidth="1"/>
    <col min="11522" max="11522" width="24.5" style="368" customWidth="1"/>
    <col min="11523" max="11523" width="37.25" style="368" customWidth="1"/>
    <col min="11524" max="11524" width="24.5" style="368" customWidth="1"/>
    <col min="11525" max="11776" width="9" style="368"/>
    <col min="11777" max="11777" width="37.25" style="368" customWidth="1"/>
    <col min="11778" max="11778" width="24.5" style="368" customWidth="1"/>
    <col min="11779" max="11779" width="37.25" style="368" customWidth="1"/>
    <col min="11780" max="11780" width="24.5" style="368" customWidth="1"/>
    <col min="11781" max="12032" width="9" style="368"/>
    <col min="12033" max="12033" width="37.25" style="368" customWidth="1"/>
    <col min="12034" max="12034" width="24.5" style="368" customWidth="1"/>
    <col min="12035" max="12035" width="37.25" style="368" customWidth="1"/>
    <col min="12036" max="12036" width="24.5" style="368" customWidth="1"/>
    <col min="12037" max="12288" width="9" style="368"/>
    <col min="12289" max="12289" width="37.25" style="368" customWidth="1"/>
    <col min="12290" max="12290" width="24.5" style="368" customWidth="1"/>
    <col min="12291" max="12291" width="37.25" style="368" customWidth="1"/>
    <col min="12292" max="12292" width="24.5" style="368" customWidth="1"/>
    <col min="12293" max="12544" width="9" style="368"/>
    <col min="12545" max="12545" width="37.25" style="368" customWidth="1"/>
    <col min="12546" max="12546" width="24.5" style="368" customWidth="1"/>
    <col min="12547" max="12547" width="37.25" style="368" customWidth="1"/>
    <col min="12548" max="12548" width="24.5" style="368" customWidth="1"/>
    <col min="12549" max="12800" width="9" style="368"/>
    <col min="12801" max="12801" width="37.25" style="368" customWidth="1"/>
    <col min="12802" max="12802" width="24.5" style="368" customWidth="1"/>
    <col min="12803" max="12803" width="37.25" style="368" customWidth="1"/>
    <col min="12804" max="12804" width="24.5" style="368" customWidth="1"/>
    <col min="12805" max="13056" width="9" style="368"/>
    <col min="13057" max="13057" width="37.25" style="368" customWidth="1"/>
    <col min="13058" max="13058" width="24.5" style="368" customWidth="1"/>
    <col min="13059" max="13059" width="37.25" style="368" customWidth="1"/>
    <col min="13060" max="13060" width="24.5" style="368" customWidth="1"/>
    <col min="13061" max="13312" width="9" style="368"/>
    <col min="13313" max="13313" width="37.25" style="368" customWidth="1"/>
    <col min="13314" max="13314" width="24.5" style="368" customWidth="1"/>
    <col min="13315" max="13315" width="37.25" style="368" customWidth="1"/>
    <col min="13316" max="13316" width="24.5" style="368" customWidth="1"/>
    <col min="13317" max="13568" width="9" style="368"/>
    <col min="13569" max="13569" width="37.25" style="368" customWidth="1"/>
    <col min="13570" max="13570" width="24.5" style="368" customWidth="1"/>
    <col min="13571" max="13571" width="37.25" style="368" customWidth="1"/>
    <col min="13572" max="13572" width="24.5" style="368" customWidth="1"/>
    <col min="13573" max="13824" width="9" style="368"/>
    <col min="13825" max="13825" width="37.25" style="368" customWidth="1"/>
    <col min="13826" max="13826" width="24.5" style="368" customWidth="1"/>
    <col min="13827" max="13827" width="37.25" style="368" customWidth="1"/>
    <col min="13828" max="13828" width="24.5" style="368" customWidth="1"/>
    <col min="13829" max="14080" width="9" style="368"/>
    <col min="14081" max="14081" width="37.25" style="368" customWidth="1"/>
    <col min="14082" max="14082" width="24.5" style="368" customWidth="1"/>
    <col min="14083" max="14083" width="37.25" style="368" customWidth="1"/>
    <col min="14084" max="14084" width="24.5" style="368" customWidth="1"/>
    <col min="14085" max="14336" width="9" style="368"/>
    <col min="14337" max="14337" width="37.25" style="368" customWidth="1"/>
    <col min="14338" max="14338" width="24.5" style="368" customWidth="1"/>
    <col min="14339" max="14339" width="37.25" style="368" customWidth="1"/>
    <col min="14340" max="14340" width="24.5" style="368" customWidth="1"/>
    <col min="14341" max="14592" width="9" style="368"/>
    <col min="14593" max="14593" width="37.25" style="368" customWidth="1"/>
    <col min="14594" max="14594" width="24.5" style="368" customWidth="1"/>
    <col min="14595" max="14595" width="37.25" style="368" customWidth="1"/>
    <col min="14596" max="14596" width="24.5" style="368" customWidth="1"/>
    <col min="14597" max="14848" width="9" style="368"/>
    <col min="14849" max="14849" width="37.25" style="368" customWidth="1"/>
    <col min="14850" max="14850" width="24.5" style="368" customWidth="1"/>
    <col min="14851" max="14851" width="37.25" style="368" customWidth="1"/>
    <col min="14852" max="14852" width="24.5" style="368" customWidth="1"/>
    <col min="14853" max="15104" width="9" style="368"/>
    <col min="15105" max="15105" width="37.25" style="368" customWidth="1"/>
    <col min="15106" max="15106" width="24.5" style="368" customWidth="1"/>
    <col min="15107" max="15107" width="37.25" style="368" customWidth="1"/>
    <col min="15108" max="15108" width="24.5" style="368" customWidth="1"/>
    <col min="15109" max="15360" width="9" style="368"/>
    <col min="15361" max="15361" width="37.25" style="368" customWidth="1"/>
    <col min="15362" max="15362" width="24.5" style="368" customWidth="1"/>
    <col min="15363" max="15363" width="37.25" style="368" customWidth="1"/>
    <col min="15364" max="15364" width="24.5" style="368" customWidth="1"/>
    <col min="15365" max="15616" width="9" style="368"/>
    <col min="15617" max="15617" width="37.25" style="368" customWidth="1"/>
    <col min="15618" max="15618" width="24.5" style="368" customWidth="1"/>
    <col min="15619" max="15619" width="37.25" style="368" customWidth="1"/>
    <col min="15620" max="15620" width="24.5" style="368" customWidth="1"/>
    <col min="15621" max="15872" width="9" style="368"/>
    <col min="15873" max="15873" width="37.25" style="368" customWidth="1"/>
    <col min="15874" max="15874" width="24.5" style="368" customWidth="1"/>
    <col min="15875" max="15875" width="37.25" style="368" customWidth="1"/>
    <col min="15876" max="15876" width="24.5" style="368" customWidth="1"/>
    <col min="15877" max="16128" width="9" style="368"/>
    <col min="16129" max="16129" width="37.25" style="368" customWidth="1"/>
    <col min="16130" max="16130" width="24.5" style="368" customWidth="1"/>
    <col min="16131" max="16131" width="37.25" style="368" customWidth="1"/>
    <col min="16132" max="16132" width="24.5" style="368" customWidth="1"/>
    <col min="16133" max="16384" width="9" style="368"/>
  </cols>
  <sheetData>
    <row r="1" spans="1:4" s="323" customFormat="1" ht="36.75" customHeight="1">
      <c r="A1" s="722" t="s">
        <v>2032</v>
      </c>
      <c r="B1" s="722"/>
      <c r="C1" s="722"/>
      <c r="D1" s="722"/>
    </row>
    <row r="2" spans="1:4" s="323" customFormat="1" ht="19.5" customHeight="1">
      <c r="A2" s="379"/>
      <c r="B2" s="557"/>
      <c r="C2" s="557"/>
      <c r="D2" s="371" t="s">
        <v>2033</v>
      </c>
    </row>
    <row r="3" spans="1:4" s="323" customFormat="1" ht="19.5" customHeight="1" thickBot="1">
      <c r="A3" s="369" t="s">
        <v>1526</v>
      </c>
      <c r="B3" s="369"/>
      <c r="C3" s="369"/>
      <c r="D3" s="371" t="s">
        <v>1569</v>
      </c>
    </row>
    <row r="4" spans="1:4" s="323" customFormat="1" ht="36" customHeight="1" thickBot="1">
      <c r="A4" s="558" t="s">
        <v>2034</v>
      </c>
      <c r="B4" s="559" t="s">
        <v>1674</v>
      </c>
      <c r="C4" s="560" t="s">
        <v>2035</v>
      </c>
      <c r="D4" s="559" t="s">
        <v>1674</v>
      </c>
    </row>
    <row r="5" spans="1:4" s="323" customFormat="1" ht="26.45" customHeight="1">
      <c r="A5" s="561" t="s">
        <v>2036</v>
      </c>
      <c r="B5" s="328">
        <f>749433392.43+24439665.82</f>
        <v>773873058.25</v>
      </c>
      <c r="C5" s="561" t="s">
        <v>2037</v>
      </c>
      <c r="D5" s="562">
        <f>SUM(D6:D7)</f>
        <v>293610657.75999999</v>
      </c>
    </row>
    <row r="6" spans="1:4" s="323" customFormat="1" ht="26.45" customHeight="1">
      <c r="A6" s="563" t="s">
        <v>2038</v>
      </c>
      <c r="B6" s="329">
        <f>207356988.13+6892187.24</f>
        <v>214249175.37</v>
      </c>
      <c r="C6" s="331" t="s">
        <v>2039</v>
      </c>
      <c r="D6" s="330">
        <v>225949265.01999998</v>
      </c>
    </row>
    <row r="7" spans="1:4" s="323" customFormat="1" ht="26.45" customHeight="1">
      <c r="A7" s="331" t="s">
        <v>2040</v>
      </c>
      <c r="B7" s="329"/>
      <c r="C7" s="331" t="s">
        <v>2041</v>
      </c>
      <c r="D7" s="330">
        <v>67661392.74000001</v>
      </c>
    </row>
    <row r="8" spans="1:4" s="323" customFormat="1" ht="26.45" customHeight="1">
      <c r="A8" s="331" t="s">
        <v>2042</v>
      </c>
      <c r="B8" s="329">
        <v>308140.73</v>
      </c>
      <c r="C8" s="331" t="s">
        <v>1559</v>
      </c>
      <c r="D8" s="330">
        <f>80963080+12286460</f>
        <v>93249540</v>
      </c>
    </row>
    <row r="9" spans="1:4" s="323" customFormat="1" ht="26.45" customHeight="1">
      <c r="A9" s="331" t="s">
        <v>2043</v>
      </c>
      <c r="B9" s="329"/>
      <c r="C9" s="331" t="s">
        <v>1560</v>
      </c>
      <c r="D9" s="330"/>
    </row>
    <row r="10" spans="1:4" s="323" customFormat="1" ht="26.45" customHeight="1">
      <c r="A10" s="331" t="s">
        <v>1545</v>
      </c>
      <c r="B10" s="564">
        <f>SUM(B5:B9)</f>
        <v>988430374.35000002</v>
      </c>
      <c r="C10" s="331" t="s">
        <v>1561</v>
      </c>
      <c r="D10" s="330">
        <f>D5+D8+D9</f>
        <v>386860197.75999999</v>
      </c>
    </row>
    <row r="11" spans="1:4" s="323" customFormat="1" ht="26.45" customHeight="1">
      <c r="A11" s="331" t="s">
        <v>1615</v>
      </c>
      <c r="B11" s="329"/>
      <c r="C11" s="331" t="s">
        <v>1562</v>
      </c>
      <c r="D11" s="330"/>
    </row>
    <row r="12" spans="1:4" s="323" customFormat="1" ht="26.45" customHeight="1">
      <c r="A12" s="331" t="s">
        <v>1549</v>
      </c>
      <c r="B12" s="329"/>
      <c r="C12" s="331" t="s">
        <v>1563</v>
      </c>
      <c r="D12" s="330"/>
    </row>
    <row r="13" spans="1:4" s="323" customFormat="1" ht="26.45" customHeight="1">
      <c r="A13" s="331" t="s">
        <v>1551</v>
      </c>
      <c r="B13" s="329">
        <f>SUM(B10:B12)</f>
        <v>988430374.35000002</v>
      </c>
      <c r="C13" s="331" t="s">
        <v>1564</v>
      </c>
      <c r="D13" s="330">
        <f>SUM(D10:D12)</f>
        <v>386860197.75999999</v>
      </c>
    </row>
    <row r="14" spans="1:4" s="323" customFormat="1" ht="26.45" customHeight="1">
      <c r="A14" s="565" t="s">
        <v>1542</v>
      </c>
      <c r="B14" s="332" t="s">
        <v>1542</v>
      </c>
      <c r="C14" s="331" t="s">
        <v>1565</v>
      </c>
      <c r="D14" s="330">
        <f>B13-D13</f>
        <v>601570176.59000003</v>
      </c>
    </row>
    <row r="15" spans="1:4" s="323" customFormat="1" ht="26.45" customHeight="1" thickBot="1">
      <c r="A15" s="334" t="s">
        <v>1554</v>
      </c>
      <c r="B15" s="333">
        <v>4720197152.8999996</v>
      </c>
      <c r="C15" s="334" t="s">
        <v>1566</v>
      </c>
      <c r="D15" s="566">
        <f>B15+D14</f>
        <v>5321767329.4899998</v>
      </c>
    </row>
    <row r="16" spans="1:4" s="323" customFormat="1" ht="26.45" customHeight="1" thickBot="1">
      <c r="A16" s="335" t="s">
        <v>2044</v>
      </c>
      <c r="B16" s="567">
        <f>B13+B15</f>
        <v>5708627527.25</v>
      </c>
      <c r="C16" s="335" t="s">
        <v>2045</v>
      </c>
      <c r="D16" s="568">
        <f>D13+D15</f>
        <v>5708627527.25</v>
      </c>
    </row>
  </sheetData>
  <mergeCells count="1">
    <mergeCell ref="A1:D1"/>
  </mergeCells>
  <phoneticPr fontId="2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J7" sqref="J7"/>
    </sheetView>
  </sheetViews>
  <sheetFormatPr defaultRowHeight="12"/>
  <cols>
    <col min="1" max="1" width="34.5" style="368" customWidth="1"/>
    <col min="2" max="2" width="7" style="368" customWidth="1"/>
    <col min="3" max="3" width="20.75" style="368" customWidth="1"/>
    <col min="4" max="4" width="34.5" style="368" customWidth="1"/>
    <col min="5" max="5" width="7" style="368" customWidth="1"/>
    <col min="6" max="6" width="20.75" style="368" customWidth="1"/>
    <col min="7" max="256" width="9" style="368"/>
    <col min="257" max="257" width="34.5" style="368" customWidth="1"/>
    <col min="258" max="258" width="7" style="368" customWidth="1"/>
    <col min="259" max="259" width="20.75" style="368" customWidth="1"/>
    <col min="260" max="260" width="34.5" style="368" customWidth="1"/>
    <col min="261" max="261" width="7" style="368" customWidth="1"/>
    <col min="262" max="262" width="20.75" style="368" customWidth="1"/>
    <col min="263" max="512" width="9" style="368"/>
    <col min="513" max="513" width="34.5" style="368" customWidth="1"/>
    <col min="514" max="514" width="7" style="368" customWidth="1"/>
    <col min="515" max="515" width="20.75" style="368" customWidth="1"/>
    <col min="516" max="516" width="34.5" style="368" customWidth="1"/>
    <col min="517" max="517" width="7" style="368" customWidth="1"/>
    <col min="518" max="518" width="20.75" style="368" customWidth="1"/>
    <col min="519" max="768" width="9" style="368"/>
    <col min="769" max="769" width="34.5" style="368" customWidth="1"/>
    <col min="770" max="770" width="7" style="368" customWidth="1"/>
    <col min="771" max="771" width="20.75" style="368" customWidth="1"/>
    <col min="772" max="772" width="34.5" style="368" customWidth="1"/>
    <col min="773" max="773" width="7" style="368" customWidth="1"/>
    <col min="774" max="774" width="20.75" style="368" customWidth="1"/>
    <col min="775" max="1024" width="9" style="368"/>
    <col min="1025" max="1025" width="34.5" style="368" customWidth="1"/>
    <col min="1026" max="1026" width="7" style="368" customWidth="1"/>
    <col min="1027" max="1027" width="20.75" style="368" customWidth="1"/>
    <col min="1028" max="1028" width="34.5" style="368" customWidth="1"/>
    <col min="1029" max="1029" width="7" style="368" customWidth="1"/>
    <col min="1030" max="1030" width="20.75" style="368" customWidth="1"/>
    <col min="1031" max="1280" width="9" style="368"/>
    <col min="1281" max="1281" width="34.5" style="368" customWidth="1"/>
    <col min="1282" max="1282" width="7" style="368" customWidth="1"/>
    <col min="1283" max="1283" width="20.75" style="368" customWidth="1"/>
    <col min="1284" max="1284" width="34.5" style="368" customWidth="1"/>
    <col min="1285" max="1285" width="7" style="368" customWidth="1"/>
    <col min="1286" max="1286" width="20.75" style="368" customWidth="1"/>
    <col min="1287" max="1536" width="9" style="368"/>
    <col min="1537" max="1537" width="34.5" style="368" customWidth="1"/>
    <col min="1538" max="1538" width="7" style="368" customWidth="1"/>
    <col min="1539" max="1539" width="20.75" style="368" customWidth="1"/>
    <col min="1540" max="1540" width="34.5" style="368" customWidth="1"/>
    <col min="1541" max="1541" width="7" style="368" customWidth="1"/>
    <col min="1542" max="1542" width="20.75" style="368" customWidth="1"/>
    <col min="1543" max="1792" width="9" style="368"/>
    <col min="1793" max="1793" width="34.5" style="368" customWidth="1"/>
    <col min="1794" max="1794" width="7" style="368" customWidth="1"/>
    <col min="1795" max="1795" width="20.75" style="368" customWidth="1"/>
    <col min="1796" max="1796" width="34.5" style="368" customWidth="1"/>
    <col min="1797" max="1797" width="7" style="368" customWidth="1"/>
    <col min="1798" max="1798" width="20.75" style="368" customWidth="1"/>
    <col min="1799" max="2048" width="9" style="368"/>
    <col min="2049" max="2049" width="34.5" style="368" customWidth="1"/>
    <col min="2050" max="2050" width="7" style="368" customWidth="1"/>
    <col min="2051" max="2051" width="20.75" style="368" customWidth="1"/>
    <col min="2052" max="2052" width="34.5" style="368" customWidth="1"/>
    <col min="2053" max="2053" width="7" style="368" customWidth="1"/>
    <col min="2054" max="2054" width="20.75" style="368" customWidth="1"/>
    <col min="2055" max="2304" width="9" style="368"/>
    <col min="2305" max="2305" width="34.5" style="368" customWidth="1"/>
    <col min="2306" max="2306" width="7" style="368" customWidth="1"/>
    <col min="2307" max="2307" width="20.75" style="368" customWidth="1"/>
    <col min="2308" max="2308" width="34.5" style="368" customWidth="1"/>
    <col min="2309" max="2309" width="7" style="368" customWidth="1"/>
    <col min="2310" max="2310" width="20.75" style="368" customWidth="1"/>
    <col min="2311" max="2560" width="9" style="368"/>
    <col min="2561" max="2561" width="34.5" style="368" customWidth="1"/>
    <col min="2562" max="2562" width="7" style="368" customWidth="1"/>
    <col min="2563" max="2563" width="20.75" style="368" customWidth="1"/>
    <col min="2564" max="2564" width="34.5" style="368" customWidth="1"/>
    <col min="2565" max="2565" width="7" style="368" customWidth="1"/>
    <col min="2566" max="2566" width="20.75" style="368" customWidth="1"/>
    <col min="2567" max="2816" width="9" style="368"/>
    <col min="2817" max="2817" width="34.5" style="368" customWidth="1"/>
    <col min="2818" max="2818" width="7" style="368" customWidth="1"/>
    <col min="2819" max="2819" width="20.75" style="368" customWidth="1"/>
    <col min="2820" max="2820" width="34.5" style="368" customWidth="1"/>
    <col min="2821" max="2821" width="7" style="368" customWidth="1"/>
    <col min="2822" max="2822" width="20.75" style="368" customWidth="1"/>
    <col min="2823" max="3072" width="9" style="368"/>
    <col min="3073" max="3073" width="34.5" style="368" customWidth="1"/>
    <col min="3074" max="3074" width="7" style="368" customWidth="1"/>
    <col min="3075" max="3075" width="20.75" style="368" customWidth="1"/>
    <col min="3076" max="3076" width="34.5" style="368" customWidth="1"/>
    <col min="3077" max="3077" width="7" style="368" customWidth="1"/>
    <col min="3078" max="3078" width="20.75" style="368" customWidth="1"/>
    <col min="3079" max="3328" width="9" style="368"/>
    <col min="3329" max="3329" width="34.5" style="368" customWidth="1"/>
    <col min="3330" max="3330" width="7" style="368" customWidth="1"/>
    <col min="3331" max="3331" width="20.75" style="368" customWidth="1"/>
    <col min="3332" max="3332" width="34.5" style="368" customWidth="1"/>
    <col min="3333" max="3333" width="7" style="368" customWidth="1"/>
    <col min="3334" max="3334" width="20.75" style="368" customWidth="1"/>
    <col min="3335" max="3584" width="9" style="368"/>
    <col min="3585" max="3585" width="34.5" style="368" customWidth="1"/>
    <col min="3586" max="3586" width="7" style="368" customWidth="1"/>
    <col min="3587" max="3587" width="20.75" style="368" customWidth="1"/>
    <col min="3588" max="3588" width="34.5" style="368" customWidth="1"/>
    <col min="3589" max="3589" width="7" style="368" customWidth="1"/>
    <col min="3590" max="3590" width="20.75" style="368" customWidth="1"/>
    <col min="3591" max="3840" width="9" style="368"/>
    <col min="3841" max="3841" width="34.5" style="368" customWidth="1"/>
    <col min="3842" max="3842" width="7" style="368" customWidth="1"/>
    <col min="3843" max="3843" width="20.75" style="368" customWidth="1"/>
    <col min="3844" max="3844" width="34.5" style="368" customWidth="1"/>
    <col min="3845" max="3845" width="7" style="368" customWidth="1"/>
    <col min="3846" max="3846" width="20.75" style="368" customWidth="1"/>
    <col min="3847" max="4096" width="9" style="368"/>
    <col min="4097" max="4097" width="34.5" style="368" customWidth="1"/>
    <col min="4098" max="4098" width="7" style="368" customWidth="1"/>
    <col min="4099" max="4099" width="20.75" style="368" customWidth="1"/>
    <col min="4100" max="4100" width="34.5" style="368" customWidth="1"/>
    <col min="4101" max="4101" width="7" style="368" customWidth="1"/>
    <col min="4102" max="4102" width="20.75" style="368" customWidth="1"/>
    <col min="4103" max="4352" width="9" style="368"/>
    <col min="4353" max="4353" width="34.5" style="368" customWidth="1"/>
    <col min="4354" max="4354" width="7" style="368" customWidth="1"/>
    <col min="4355" max="4355" width="20.75" style="368" customWidth="1"/>
    <col min="4356" max="4356" width="34.5" style="368" customWidth="1"/>
    <col min="4357" max="4357" width="7" style="368" customWidth="1"/>
    <col min="4358" max="4358" width="20.75" style="368" customWidth="1"/>
    <col min="4359" max="4608" width="9" style="368"/>
    <col min="4609" max="4609" width="34.5" style="368" customWidth="1"/>
    <col min="4610" max="4610" width="7" style="368" customWidth="1"/>
    <col min="4611" max="4611" width="20.75" style="368" customWidth="1"/>
    <col min="4612" max="4612" width="34.5" style="368" customWidth="1"/>
    <col min="4613" max="4613" width="7" style="368" customWidth="1"/>
    <col min="4614" max="4614" width="20.75" style="368" customWidth="1"/>
    <col min="4615" max="4864" width="9" style="368"/>
    <col min="4865" max="4865" width="34.5" style="368" customWidth="1"/>
    <col min="4866" max="4866" width="7" style="368" customWidth="1"/>
    <col min="4867" max="4867" width="20.75" style="368" customWidth="1"/>
    <col min="4868" max="4868" width="34.5" style="368" customWidth="1"/>
    <col min="4869" max="4869" width="7" style="368" customWidth="1"/>
    <col min="4870" max="4870" width="20.75" style="368" customWidth="1"/>
    <col min="4871" max="5120" width="9" style="368"/>
    <col min="5121" max="5121" width="34.5" style="368" customWidth="1"/>
    <col min="5122" max="5122" width="7" style="368" customWidth="1"/>
    <col min="5123" max="5123" width="20.75" style="368" customWidth="1"/>
    <col min="5124" max="5124" width="34.5" style="368" customWidth="1"/>
    <col min="5125" max="5125" width="7" style="368" customWidth="1"/>
    <col min="5126" max="5126" width="20.75" style="368" customWidth="1"/>
    <col min="5127" max="5376" width="9" style="368"/>
    <col min="5377" max="5377" width="34.5" style="368" customWidth="1"/>
    <col min="5378" max="5378" width="7" style="368" customWidth="1"/>
    <col min="5379" max="5379" width="20.75" style="368" customWidth="1"/>
    <col min="5380" max="5380" width="34.5" style="368" customWidth="1"/>
    <col min="5381" max="5381" width="7" style="368" customWidth="1"/>
    <col min="5382" max="5382" width="20.75" style="368" customWidth="1"/>
    <col min="5383" max="5632" width="9" style="368"/>
    <col min="5633" max="5633" width="34.5" style="368" customWidth="1"/>
    <col min="5634" max="5634" width="7" style="368" customWidth="1"/>
    <col min="5635" max="5635" width="20.75" style="368" customWidth="1"/>
    <col min="5636" max="5636" width="34.5" style="368" customWidth="1"/>
    <col min="5637" max="5637" width="7" style="368" customWidth="1"/>
    <col min="5638" max="5638" width="20.75" style="368" customWidth="1"/>
    <col min="5639" max="5888" width="9" style="368"/>
    <col min="5889" max="5889" width="34.5" style="368" customWidth="1"/>
    <col min="5890" max="5890" width="7" style="368" customWidth="1"/>
    <col min="5891" max="5891" width="20.75" style="368" customWidth="1"/>
    <col min="5892" max="5892" width="34.5" style="368" customWidth="1"/>
    <col min="5893" max="5893" width="7" style="368" customWidth="1"/>
    <col min="5894" max="5894" width="20.75" style="368" customWidth="1"/>
    <col min="5895" max="6144" width="9" style="368"/>
    <col min="6145" max="6145" width="34.5" style="368" customWidth="1"/>
    <col min="6146" max="6146" width="7" style="368" customWidth="1"/>
    <col min="6147" max="6147" width="20.75" style="368" customWidth="1"/>
    <col min="6148" max="6148" width="34.5" style="368" customWidth="1"/>
    <col min="6149" max="6149" width="7" style="368" customWidth="1"/>
    <col min="6150" max="6150" width="20.75" style="368" customWidth="1"/>
    <col min="6151" max="6400" width="9" style="368"/>
    <col min="6401" max="6401" width="34.5" style="368" customWidth="1"/>
    <col min="6402" max="6402" width="7" style="368" customWidth="1"/>
    <col min="6403" max="6403" width="20.75" style="368" customWidth="1"/>
    <col min="6404" max="6404" width="34.5" style="368" customWidth="1"/>
    <col min="6405" max="6405" width="7" style="368" customWidth="1"/>
    <col min="6406" max="6406" width="20.75" style="368" customWidth="1"/>
    <col min="6407" max="6656" width="9" style="368"/>
    <col min="6657" max="6657" width="34.5" style="368" customWidth="1"/>
    <col min="6658" max="6658" width="7" style="368" customWidth="1"/>
    <col min="6659" max="6659" width="20.75" style="368" customWidth="1"/>
    <col min="6660" max="6660" width="34.5" style="368" customWidth="1"/>
    <col min="6661" max="6661" width="7" style="368" customWidth="1"/>
    <col min="6662" max="6662" width="20.75" style="368" customWidth="1"/>
    <col min="6663" max="6912" width="9" style="368"/>
    <col min="6913" max="6913" width="34.5" style="368" customWidth="1"/>
    <col min="6914" max="6914" width="7" style="368" customWidth="1"/>
    <col min="6915" max="6915" width="20.75" style="368" customWidth="1"/>
    <col min="6916" max="6916" width="34.5" style="368" customWidth="1"/>
    <col min="6917" max="6917" width="7" style="368" customWidth="1"/>
    <col min="6918" max="6918" width="20.75" style="368" customWidth="1"/>
    <col min="6919" max="7168" width="9" style="368"/>
    <col min="7169" max="7169" width="34.5" style="368" customWidth="1"/>
    <col min="7170" max="7170" width="7" style="368" customWidth="1"/>
    <col min="7171" max="7171" width="20.75" style="368" customWidth="1"/>
    <col min="7172" max="7172" width="34.5" style="368" customWidth="1"/>
    <col min="7173" max="7173" width="7" style="368" customWidth="1"/>
    <col min="7174" max="7174" width="20.75" style="368" customWidth="1"/>
    <col min="7175" max="7424" width="9" style="368"/>
    <col min="7425" max="7425" width="34.5" style="368" customWidth="1"/>
    <col min="7426" max="7426" width="7" style="368" customWidth="1"/>
    <col min="7427" max="7427" width="20.75" style="368" customWidth="1"/>
    <col min="7428" max="7428" width="34.5" style="368" customWidth="1"/>
    <col min="7429" max="7429" width="7" style="368" customWidth="1"/>
    <col min="7430" max="7430" width="20.75" style="368" customWidth="1"/>
    <col min="7431" max="7680" width="9" style="368"/>
    <col min="7681" max="7681" width="34.5" style="368" customWidth="1"/>
    <col min="7682" max="7682" width="7" style="368" customWidth="1"/>
    <col min="7683" max="7683" width="20.75" style="368" customWidth="1"/>
    <col min="7684" max="7684" width="34.5" style="368" customWidth="1"/>
    <col min="7685" max="7685" width="7" style="368" customWidth="1"/>
    <col min="7686" max="7686" width="20.75" style="368" customWidth="1"/>
    <col min="7687" max="7936" width="9" style="368"/>
    <col min="7937" max="7937" width="34.5" style="368" customWidth="1"/>
    <col min="7938" max="7938" width="7" style="368" customWidth="1"/>
    <col min="7939" max="7939" width="20.75" style="368" customWidth="1"/>
    <col min="7940" max="7940" width="34.5" style="368" customWidth="1"/>
    <col min="7941" max="7941" width="7" style="368" customWidth="1"/>
    <col min="7942" max="7942" width="20.75" style="368" customWidth="1"/>
    <col min="7943" max="8192" width="9" style="368"/>
    <col min="8193" max="8193" width="34.5" style="368" customWidth="1"/>
    <col min="8194" max="8194" width="7" style="368" customWidth="1"/>
    <col min="8195" max="8195" width="20.75" style="368" customWidth="1"/>
    <col min="8196" max="8196" width="34.5" style="368" customWidth="1"/>
    <col min="8197" max="8197" width="7" style="368" customWidth="1"/>
    <col min="8198" max="8198" width="20.75" style="368" customWidth="1"/>
    <col min="8199" max="8448" width="9" style="368"/>
    <col min="8449" max="8449" width="34.5" style="368" customWidth="1"/>
    <col min="8450" max="8450" width="7" style="368" customWidth="1"/>
    <col min="8451" max="8451" width="20.75" style="368" customWidth="1"/>
    <col min="8452" max="8452" width="34.5" style="368" customWidth="1"/>
    <col min="8453" max="8453" width="7" style="368" customWidth="1"/>
    <col min="8454" max="8454" width="20.75" style="368" customWidth="1"/>
    <col min="8455" max="8704" width="9" style="368"/>
    <col min="8705" max="8705" width="34.5" style="368" customWidth="1"/>
    <col min="8706" max="8706" width="7" style="368" customWidth="1"/>
    <col min="8707" max="8707" width="20.75" style="368" customWidth="1"/>
    <col min="8708" max="8708" width="34.5" style="368" customWidth="1"/>
    <col min="8709" max="8709" width="7" style="368" customWidth="1"/>
    <col min="8710" max="8710" width="20.75" style="368" customWidth="1"/>
    <col min="8711" max="8960" width="9" style="368"/>
    <col min="8961" max="8961" width="34.5" style="368" customWidth="1"/>
    <col min="8962" max="8962" width="7" style="368" customWidth="1"/>
    <col min="8963" max="8963" width="20.75" style="368" customWidth="1"/>
    <col min="8964" max="8964" width="34.5" style="368" customWidth="1"/>
    <col min="8965" max="8965" width="7" style="368" customWidth="1"/>
    <col min="8966" max="8966" width="20.75" style="368" customWidth="1"/>
    <col min="8967" max="9216" width="9" style="368"/>
    <col min="9217" max="9217" width="34.5" style="368" customWidth="1"/>
    <col min="9218" max="9218" width="7" style="368" customWidth="1"/>
    <col min="9219" max="9219" width="20.75" style="368" customWidth="1"/>
    <col min="9220" max="9220" width="34.5" style="368" customWidth="1"/>
    <col min="9221" max="9221" width="7" style="368" customWidth="1"/>
    <col min="9222" max="9222" width="20.75" style="368" customWidth="1"/>
    <col min="9223" max="9472" width="9" style="368"/>
    <col min="9473" max="9473" width="34.5" style="368" customWidth="1"/>
    <col min="9474" max="9474" width="7" style="368" customWidth="1"/>
    <col min="9475" max="9475" width="20.75" style="368" customWidth="1"/>
    <col min="9476" max="9476" width="34.5" style="368" customWidth="1"/>
    <col min="9477" max="9477" width="7" style="368" customWidth="1"/>
    <col min="9478" max="9478" width="20.75" style="368" customWidth="1"/>
    <col min="9479" max="9728" width="9" style="368"/>
    <col min="9729" max="9729" width="34.5" style="368" customWidth="1"/>
    <col min="9730" max="9730" width="7" style="368" customWidth="1"/>
    <col min="9731" max="9731" width="20.75" style="368" customWidth="1"/>
    <col min="9732" max="9732" width="34.5" style="368" customWidth="1"/>
    <col min="9733" max="9733" width="7" style="368" customWidth="1"/>
    <col min="9734" max="9734" width="20.75" style="368" customWidth="1"/>
    <col min="9735" max="9984" width="9" style="368"/>
    <col min="9985" max="9985" width="34.5" style="368" customWidth="1"/>
    <col min="9986" max="9986" width="7" style="368" customWidth="1"/>
    <col min="9987" max="9987" width="20.75" style="368" customWidth="1"/>
    <col min="9988" max="9988" width="34.5" style="368" customWidth="1"/>
    <col min="9989" max="9989" width="7" style="368" customWidth="1"/>
    <col min="9990" max="9990" width="20.75" style="368" customWidth="1"/>
    <col min="9991" max="10240" width="9" style="368"/>
    <col min="10241" max="10241" width="34.5" style="368" customWidth="1"/>
    <col min="10242" max="10242" width="7" style="368" customWidth="1"/>
    <col min="10243" max="10243" width="20.75" style="368" customWidth="1"/>
    <col min="10244" max="10244" width="34.5" style="368" customWidth="1"/>
    <col min="10245" max="10245" width="7" style="368" customWidth="1"/>
    <col min="10246" max="10246" width="20.75" style="368" customWidth="1"/>
    <col min="10247" max="10496" width="9" style="368"/>
    <col min="10497" max="10497" width="34.5" style="368" customWidth="1"/>
    <col min="10498" max="10498" width="7" style="368" customWidth="1"/>
    <col min="10499" max="10499" width="20.75" style="368" customWidth="1"/>
    <col min="10500" max="10500" width="34.5" style="368" customWidth="1"/>
    <col min="10501" max="10501" width="7" style="368" customWidth="1"/>
    <col min="10502" max="10502" width="20.75" style="368" customWidth="1"/>
    <col min="10503" max="10752" width="9" style="368"/>
    <col min="10753" max="10753" width="34.5" style="368" customWidth="1"/>
    <col min="10754" max="10754" width="7" style="368" customWidth="1"/>
    <col min="10755" max="10755" width="20.75" style="368" customWidth="1"/>
    <col min="10756" max="10756" width="34.5" style="368" customWidth="1"/>
    <col min="10757" max="10757" width="7" style="368" customWidth="1"/>
    <col min="10758" max="10758" width="20.75" style="368" customWidth="1"/>
    <col min="10759" max="11008" width="9" style="368"/>
    <col min="11009" max="11009" width="34.5" style="368" customWidth="1"/>
    <col min="11010" max="11010" width="7" style="368" customWidth="1"/>
    <col min="11011" max="11011" width="20.75" style="368" customWidth="1"/>
    <col min="11012" max="11012" width="34.5" style="368" customWidth="1"/>
    <col min="11013" max="11013" width="7" style="368" customWidth="1"/>
    <col min="11014" max="11014" width="20.75" style="368" customWidth="1"/>
    <col min="11015" max="11264" width="9" style="368"/>
    <col min="11265" max="11265" width="34.5" style="368" customWidth="1"/>
    <col min="11266" max="11266" width="7" style="368" customWidth="1"/>
    <col min="11267" max="11267" width="20.75" style="368" customWidth="1"/>
    <col min="11268" max="11268" width="34.5" style="368" customWidth="1"/>
    <col min="11269" max="11269" width="7" style="368" customWidth="1"/>
    <col min="11270" max="11270" width="20.75" style="368" customWidth="1"/>
    <col min="11271" max="11520" width="9" style="368"/>
    <col min="11521" max="11521" width="34.5" style="368" customWidth="1"/>
    <col min="11522" max="11522" width="7" style="368" customWidth="1"/>
    <col min="11523" max="11523" width="20.75" style="368" customWidth="1"/>
    <col min="11524" max="11524" width="34.5" style="368" customWidth="1"/>
    <col min="11525" max="11525" width="7" style="368" customWidth="1"/>
    <col min="11526" max="11526" width="20.75" style="368" customWidth="1"/>
    <col min="11527" max="11776" width="9" style="368"/>
    <col min="11777" max="11777" width="34.5" style="368" customWidth="1"/>
    <col min="11778" max="11778" width="7" style="368" customWidth="1"/>
    <col min="11779" max="11779" width="20.75" style="368" customWidth="1"/>
    <col min="11780" max="11780" width="34.5" style="368" customWidth="1"/>
    <col min="11781" max="11781" width="7" style="368" customWidth="1"/>
    <col min="11782" max="11782" width="20.75" style="368" customWidth="1"/>
    <col min="11783" max="12032" width="9" style="368"/>
    <col min="12033" max="12033" width="34.5" style="368" customWidth="1"/>
    <col min="12034" max="12034" width="7" style="368" customWidth="1"/>
    <col min="12035" max="12035" width="20.75" style="368" customWidth="1"/>
    <col min="12036" max="12036" width="34.5" style="368" customWidth="1"/>
    <col min="12037" max="12037" width="7" style="368" customWidth="1"/>
    <col min="12038" max="12038" width="20.75" style="368" customWidth="1"/>
    <col min="12039" max="12288" width="9" style="368"/>
    <col min="12289" max="12289" width="34.5" style="368" customWidth="1"/>
    <col min="12290" max="12290" width="7" style="368" customWidth="1"/>
    <col min="12291" max="12291" width="20.75" style="368" customWidth="1"/>
    <col min="12292" max="12292" width="34.5" style="368" customWidth="1"/>
    <col min="12293" max="12293" width="7" style="368" customWidth="1"/>
    <col min="12294" max="12294" width="20.75" style="368" customWidth="1"/>
    <col min="12295" max="12544" width="9" style="368"/>
    <col min="12545" max="12545" width="34.5" style="368" customWidth="1"/>
    <col min="12546" max="12546" width="7" style="368" customWidth="1"/>
    <col min="12547" max="12547" width="20.75" style="368" customWidth="1"/>
    <col min="12548" max="12548" width="34.5" style="368" customWidth="1"/>
    <col min="12549" max="12549" width="7" style="368" customWidth="1"/>
    <col min="12550" max="12550" width="20.75" style="368" customWidth="1"/>
    <col min="12551" max="12800" width="9" style="368"/>
    <col min="12801" max="12801" width="34.5" style="368" customWidth="1"/>
    <col min="12802" max="12802" width="7" style="368" customWidth="1"/>
    <col min="12803" max="12803" width="20.75" style="368" customWidth="1"/>
    <col min="12804" max="12804" width="34.5" style="368" customWidth="1"/>
    <col min="12805" max="12805" width="7" style="368" customWidth="1"/>
    <col min="12806" max="12806" width="20.75" style="368" customWidth="1"/>
    <col min="12807" max="13056" width="9" style="368"/>
    <col min="13057" max="13057" width="34.5" style="368" customWidth="1"/>
    <col min="13058" max="13058" width="7" style="368" customWidth="1"/>
    <col min="13059" max="13059" width="20.75" style="368" customWidth="1"/>
    <col min="13060" max="13060" width="34.5" style="368" customWidth="1"/>
    <col min="13061" max="13061" width="7" style="368" customWidth="1"/>
    <col min="13062" max="13062" width="20.75" style="368" customWidth="1"/>
    <col min="13063" max="13312" width="9" style="368"/>
    <col min="13313" max="13313" width="34.5" style="368" customWidth="1"/>
    <col min="13314" max="13314" width="7" style="368" customWidth="1"/>
    <col min="13315" max="13315" width="20.75" style="368" customWidth="1"/>
    <col min="13316" max="13316" width="34.5" style="368" customWidth="1"/>
    <col min="13317" max="13317" width="7" style="368" customWidth="1"/>
    <col min="13318" max="13318" width="20.75" style="368" customWidth="1"/>
    <col min="13319" max="13568" width="9" style="368"/>
    <col min="13569" max="13569" width="34.5" style="368" customWidth="1"/>
    <col min="13570" max="13570" width="7" style="368" customWidth="1"/>
    <col min="13571" max="13571" width="20.75" style="368" customWidth="1"/>
    <col min="13572" max="13572" width="34.5" style="368" customWidth="1"/>
    <col min="13573" max="13573" width="7" style="368" customWidth="1"/>
    <col min="13574" max="13574" width="20.75" style="368" customWidth="1"/>
    <col min="13575" max="13824" width="9" style="368"/>
    <col min="13825" max="13825" width="34.5" style="368" customWidth="1"/>
    <col min="13826" max="13826" width="7" style="368" customWidth="1"/>
    <col min="13827" max="13827" width="20.75" style="368" customWidth="1"/>
    <col min="13828" max="13828" width="34.5" style="368" customWidth="1"/>
    <col min="13829" max="13829" width="7" style="368" customWidth="1"/>
    <col min="13830" max="13830" width="20.75" style="368" customWidth="1"/>
    <col min="13831" max="14080" width="9" style="368"/>
    <col min="14081" max="14081" width="34.5" style="368" customWidth="1"/>
    <col min="14082" max="14082" width="7" style="368" customWidth="1"/>
    <col min="14083" max="14083" width="20.75" style="368" customWidth="1"/>
    <col min="14084" max="14084" width="34.5" style="368" customWidth="1"/>
    <col min="14085" max="14085" width="7" style="368" customWidth="1"/>
    <col min="14086" max="14086" width="20.75" style="368" customWidth="1"/>
    <col min="14087" max="14336" width="9" style="368"/>
    <col min="14337" max="14337" width="34.5" style="368" customWidth="1"/>
    <col min="14338" max="14338" width="7" style="368" customWidth="1"/>
    <col min="14339" max="14339" width="20.75" style="368" customWidth="1"/>
    <col min="14340" max="14340" width="34.5" style="368" customWidth="1"/>
    <col min="14341" max="14341" width="7" style="368" customWidth="1"/>
    <col min="14342" max="14342" width="20.75" style="368" customWidth="1"/>
    <col min="14343" max="14592" width="9" style="368"/>
    <col min="14593" max="14593" width="34.5" style="368" customWidth="1"/>
    <col min="14594" max="14594" width="7" style="368" customWidth="1"/>
    <col min="14595" max="14595" width="20.75" style="368" customWidth="1"/>
    <col min="14596" max="14596" width="34.5" style="368" customWidth="1"/>
    <col min="14597" max="14597" width="7" style="368" customWidth="1"/>
    <col min="14598" max="14598" width="20.75" style="368" customWidth="1"/>
    <col min="14599" max="14848" width="9" style="368"/>
    <col min="14849" max="14849" width="34.5" style="368" customWidth="1"/>
    <col min="14850" max="14850" width="7" style="368" customWidth="1"/>
    <col min="14851" max="14851" width="20.75" style="368" customWidth="1"/>
    <col min="14852" max="14852" width="34.5" style="368" customWidth="1"/>
    <col min="14853" max="14853" width="7" style="368" customWidth="1"/>
    <col min="14854" max="14854" width="20.75" style="368" customWidth="1"/>
    <col min="14855" max="15104" width="9" style="368"/>
    <col min="15105" max="15105" width="34.5" style="368" customWidth="1"/>
    <col min="15106" max="15106" width="7" style="368" customWidth="1"/>
    <col min="15107" max="15107" width="20.75" style="368" customWidth="1"/>
    <col min="15108" max="15108" width="34.5" style="368" customWidth="1"/>
    <col min="15109" max="15109" width="7" style="368" customWidth="1"/>
    <col min="15110" max="15110" width="20.75" style="368" customWidth="1"/>
    <col min="15111" max="15360" width="9" style="368"/>
    <col min="15361" max="15361" width="34.5" style="368" customWidth="1"/>
    <col min="15362" max="15362" width="7" style="368" customWidth="1"/>
    <col min="15363" max="15363" width="20.75" style="368" customWidth="1"/>
    <col min="15364" max="15364" width="34.5" style="368" customWidth="1"/>
    <col min="15365" max="15365" width="7" style="368" customWidth="1"/>
    <col min="15366" max="15366" width="20.75" style="368" customWidth="1"/>
    <col min="15367" max="15616" width="9" style="368"/>
    <col min="15617" max="15617" width="34.5" style="368" customWidth="1"/>
    <col min="15618" max="15618" width="7" style="368" customWidth="1"/>
    <col min="15619" max="15619" width="20.75" style="368" customWidth="1"/>
    <col min="15620" max="15620" width="34.5" style="368" customWidth="1"/>
    <col min="15621" max="15621" width="7" style="368" customWidth="1"/>
    <col min="15622" max="15622" width="20.75" style="368" customWidth="1"/>
    <col min="15623" max="15872" width="9" style="368"/>
    <col min="15873" max="15873" width="34.5" style="368" customWidth="1"/>
    <col min="15874" max="15874" width="7" style="368" customWidth="1"/>
    <col min="15875" max="15875" width="20.75" style="368" customWidth="1"/>
    <col min="15876" max="15876" width="34.5" style="368" customWidth="1"/>
    <col min="15877" max="15877" width="7" style="368" customWidth="1"/>
    <col min="15878" max="15878" width="20.75" style="368" customWidth="1"/>
    <col min="15879" max="16128" width="9" style="368"/>
    <col min="16129" max="16129" width="34.5" style="368" customWidth="1"/>
    <col min="16130" max="16130" width="7" style="368" customWidth="1"/>
    <col min="16131" max="16131" width="20.75" style="368" customWidth="1"/>
    <col min="16132" max="16132" width="34.5" style="368" customWidth="1"/>
    <col min="16133" max="16133" width="7" style="368" customWidth="1"/>
    <col min="16134" max="16134" width="20.75" style="368" customWidth="1"/>
    <col min="16135" max="16384" width="9" style="368"/>
  </cols>
  <sheetData>
    <row r="1" spans="1:6" s="323" customFormat="1" ht="69.75" customHeight="1">
      <c r="A1" s="731" t="s">
        <v>2046</v>
      </c>
      <c r="B1" s="731"/>
      <c r="C1" s="731"/>
      <c r="D1" s="731"/>
      <c r="E1" s="731"/>
      <c r="F1" s="731"/>
    </row>
    <row r="2" spans="1:6" s="323" customFormat="1" ht="36" customHeight="1" thickBot="1">
      <c r="A2" s="369" t="s">
        <v>1526</v>
      </c>
      <c r="B2" s="460"/>
      <c r="C2" s="461"/>
      <c r="D2" s="461"/>
      <c r="E2" s="461"/>
      <c r="F2" s="371" t="s">
        <v>2022</v>
      </c>
    </row>
    <row r="3" spans="1:6" s="323" customFormat="1" ht="36" customHeight="1" thickBot="1">
      <c r="A3" s="569" t="s">
        <v>2034</v>
      </c>
      <c r="B3" s="570" t="s">
        <v>1789</v>
      </c>
      <c r="C3" s="571" t="s">
        <v>2047</v>
      </c>
      <c r="D3" s="572" t="s">
        <v>2034</v>
      </c>
      <c r="E3" s="573" t="s">
        <v>1789</v>
      </c>
      <c r="F3" s="571" t="s">
        <v>2047</v>
      </c>
    </row>
    <row r="4" spans="1:6" s="323" customFormat="1" ht="36" customHeight="1">
      <c r="A4" s="574" t="s">
        <v>2048</v>
      </c>
      <c r="B4" s="575" t="s">
        <v>1542</v>
      </c>
      <c r="C4" s="576" t="s">
        <v>1542</v>
      </c>
      <c r="D4" s="577" t="s">
        <v>2049</v>
      </c>
      <c r="E4" s="578" t="s">
        <v>1542</v>
      </c>
      <c r="F4" s="576" t="s">
        <v>1542</v>
      </c>
    </row>
    <row r="5" spans="1:6" s="323" customFormat="1" ht="36" customHeight="1">
      <c r="A5" s="512" t="s">
        <v>2050</v>
      </c>
      <c r="B5" s="506" t="s">
        <v>1795</v>
      </c>
      <c r="C5" s="303">
        <v>66263</v>
      </c>
      <c r="D5" s="510" t="s">
        <v>2050</v>
      </c>
      <c r="E5" s="508" t="s">
        <v>1795</v>
      </c>
      <c r="F5" s="336">
        <v>12131556</v>
      </c>
    </row>
    <row r="6" spans="1:6" s="323" customFormat="1" ht="36" customHeight="1">
      <c r="A6" s="512" t="s">
        <v>2051</v>
      </c>
      <c r="B6" s="506" t="s">
        <v>1795</v>
      </c>
      <c r="C6" s="303">
        <v>51614</v>
      </c>
      <c r="D6" s="507" t="s">
        <v>2051</v>
      </c>
      <c r="E6" s="508" t="s">
        <v>1795</v>
      </c>
      <c r="F6" s="336">
        <v>11771811</v>
      </c>
    </row>
    <row r="7" spans="1:6" s="323" customFormat="1" ht="36" customHeight="1">
      <c r="A7" s="512" t="s">
        <v>2052</v>
      </c>
      <c r="B7" s="506" t="s">
        <v>1801</v>
      </c>
      <c r="C7" s="303">
        <v>3134050000</v>
      </c>
      <c r="D7" s="579" t="s">
        <v>2052</v>
      </c>
      <c r="E7" s="506" t="s">
        <v>1801</v>
      </c>
      <c r="F7" s="336">
        <v>740241837762</v>
      </c>
    </row>
    <row r="8" spans="1:6" s="323" customFormat="1" ht="36" customHeight="1">
      <c r="A8" s="512" t="s">
        <v>2053</v>
      </c>
      <c r="B8" s="506" t="s">
        <v>1542</v>
      </c>
      <c r="C8" s="337" t="s">
        <v>1542</v>
      </c>
      <c r="D8" s="580" t="s">
        <v>1542</v>
      </c>
      <c r="E8" s="506" t="s">
        <v>1542</v>
      </c>
      <c r="F8" s="337" t="s">
        <v>1542</v>
      </c>
    </row>
    <row r="9" spans="1:6" s="323" customFormat="1" ht="36" customHeight="1">
      <c r="A9" s="512" t="s">
        <v>2050</v>
      </c>
      <c r="B9" s="506" t="s">
        <v>1795</v>
      </c>
      <c r="C9" s="303">
        <v>1946619</v>
      </c>
      <c r="D9" s="580" t="s">
        <v>1542</v>
      </c>
      <c r="E9" s="506" t="s">
        <v>1542</v>
      </c>
      <c r="F9" s="337" t="s">
        <v>1542</v>
      </c>
    </row>
    <row r="10" spans="1:6" s="323" customFormat="1" ht="36" customHeight="1">
      <c r="A10" s="512" t="s">
        <v>2051</v>
      </c>
      <c r="B10" s="506" t="s">
        <v>1795</v>
      </c>
      <c r="C10" s="303">
        <v>1709526</v>
      </c>
      <c r="D10" s="580" t="s">
        <v>1542</v>
      </c>
      <c r="E10" s="506" t="s">
        <v>1542</v>
      </c>
      <c r="F10" s="337" t="s">
        <v>1542</v>
      </c>
    </row>
    <row r="11" spans="1:6" s="323" customFormat="1" ht="36" customHeight="1" thickBot="1">
      <c r="A11" s="516" t="s">
        <v>2052</v>
      </c>
      <c r="B11" s="519" t="s">
        <v>1801</v>
      </c>
      <c r="C11" s="338">
        <v>98677630876</v>
      </c>
      <c r="D11" s="581" t="s">
        <v>1542</v>
      </c>
      <c r="E11" s="519" t="s">
        <v>1542</v>
      </c>
      <c r="F11" s="339" t="s">
        <v>1542</v>
      </c>
    </row>
  </sheetData>
  <mergeCells count="1">
    <mergeCell ref="A1:F1"/>
  </mergeCells>
  <phoneticPr fontId="2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1"/>
  <sheetViews>
    <sheetView workbookViewId="0">
      <selection activeCell="A2" sqref="A2:D2"/>
    </sheetView>
  </sheetViews>
  <sheetFormatPr defaultRowHeight="14.25"/>
  <cols>
    <col min="1" max="1" width="30.5" style="10" customWidth="1"/>
    <col min="2" max="3" width="13.875" style="10" customWidth="1"/>
    <col min="4" max="4" width="20.875" style="10" bestFit="1" customWidth="1"/>
    <col min="5" max="16384" width="9" style="10"/>
  </cols>
  <sheetData>
    <row r="2" spans="1:4" ht="39.75" customHeight="1">
      <c r="A2" s="686" t="s">
        <v>2153</v>
      </c>
      <c r="B2" s="686"/>
      <c r="C2" s="686"/>
      <c r="D2" s="686"/>
    </row>
    <row r="3" spans="1:4" ht="24.75" customHeight="1">
      <c r="D3" s="644" t="s">
        <v>925</v>
      </c>
    </row>
    <row r="4" spans="1:4" s="58" customFormat="1" ht="33" customHeight="1">
      <c r="A4" s="28" t="s">
        <v>1302</v>
      </c>
      <c r="B4" s="28" t="s">
        <v>1296</v>
      </c>
      <c r="C4" s="47" t="s">
        <v>1297</v>
      </c>
      <c r="D4" s="47" t="s">
        <v>1298</v>
      </c>
    </row>
    <row r="5" spans="1:4" ht="22.5" customHeight="1">
      <c r="A5" s="22" t="s">
        <v>1282</v>
      </c>
      <c r="B5" s="20">
        <v>428139</v>
      </c>
      <c r="C5" s="20">
        <f>SUM(C6:C7)</f>
        <v>391345</v>
      </c>
      <c r="D5" s="52">
        <f>+C5/B5</f>
        <v>0.91406062049941728</v>
      </c>
    </row>
    <row r="6" spans="1:4" ht="22.5" customHeight="1">
      <c r="A6" s="23" t="s">
        <v>1283</v>
      </c>
      <c r="B6" s="21">
        <v>220000</v>
      </c>
      <c r="C6" s="21">
        <v>183206</v>
      </c>
      <c r="D6" s="52">
        <f t="shared" ref="D6:D19" si="0">+C6/B6</f>
        <v>0.83275454545454541</v>
      </c>
    </row>
    <row r="7" spans="1:4" ht="22.5" customHeight="1">
      <c r="A7" s="23" t="s">
        <v>1284</v>
      </c>
      <c r="B7" s="21">
        <v>208139</v>
      </c>
      <c r="C7" s="21">
        <v>208139</v>
      </c>
      <c r="D7" s="52">
        <f t="shared" si="0"/>
        <v>1</v>
      </c>
    </row>
    <row r="8" spans="1:4" s="57" customFormat="1" ht="22.5" customHeight="1">
      <c r="A8" s="152" t="s">
        <v>1285</v>
      </c>
      <c r="B8" s="153">
        <v>878912.46580000001</v>
      </c>
      <c r="C8" s="153">
        <v>1004836.4836531616</v>
      </c>
      <c r="D8" s="56">
        <f t="shared" si="0"/>
        <v>1.1432725359499181</v>
      </c>
    </row>
    <row r="9" spans="1:4" ht="22.5" customHeight="1">
      <c r="A9" s="23" t="s">
        <v>1286</v>
      </c>
      <c r="B9" s="21">
        <v>145287</v>
      </c>
      <c r="C9" s="21">
        <v>133465</v>
      </c>
      <c r="D9" s="52">
        <f t="shared" si="0"/>
        <v>0.9186300219565412</v>
      </c>
    </row>
    <row r="10" spans="1:4" ht="22.5" customHeight="1">
      <c r="A10" s="23" t="s">
        <v>1287</v>
      </c>
      <c r="B10" s="21">
        <v>13300</v>
      </c>
      <c r="C10" s="21">
        <v>18919</v>
      </c>
      <c r="D10" s="52">
        <f t="shared" si="0"/>
        <v>1.4224812030075189</v>
      </c>
    </row>
    <row r="11" spans="1:4" ht="22.5" customHeight="1">
      <c r="A11" s="23" t="s">
        <v>1288</v>
      </c>
      <c r="B11" s="21">
        <v>48031.777799999996</v>
      </c>
      <c r="C11" s="21">
        <v>48032</v>
      </c>
      <c r="D11" s="52">
        <f t="shared" si="0"/>
        <v>1.0000046261040123</v>
      </c>
    </row>
    <row r="12" spans="1:4" ht="22.5" customHeight="1">
      <c r="A12" s="23" t="s">
        <v>1289</v>
      </c>
      <c r="B12" s="21">
        <v>98674.388000000006</v>
      </c>
      <c r="C12" s="21">
        <v>98674</v>
      </c>
      <c r="D12" s="52">
        <f t="shared" si="0"/>
        <v>0.99999606787528283</v>
      </c>
    </row>
    <row r="13" spans="1:4" ht="22.5" customHeight="1">
      <c r="A13" s="23" t="s">
        <v>1290</v>
      </c>
      <c r="B13" s="21">
        <v>13903</v>
      </c>
      <c r="C13" s="21">
        <v>13903</v>
      </c>
      <c r="D13" s="52">
        <f t="shared" si="0"/>
        <v>1</v>
      </c>
    </row>
    <row r="14" spans="1:4" s="57" customFormat="1" ht="22.5" customHeight="1">
      <c r="A14" s="152" t="s">
        <v>1291</v>
      </c>
      <c r="B14" s="153">
        <v>1492949</v>
      </c>
      <c r="C14" s="153">
        <v>1857395</v>
      </c>
      <c r="D14" s="56">
        <f t="shared" si="0"/>
        <v>1.2441114867286156</v>
      </c>
    </row>
    <row r="15" spans="1:4" ht="22.5" customHeight="1">
      <c r="A15" s="23" t="s">
        <v>1292</v>
      </c>
      <c r="B15" s="21">
        <v>35000</v>
      </c>
      <c r="C15" s="21">
        <v>18032</v>
      </c>
      <c r="D15" s="52">
        <f t="shared" si="0"/>
        <v>0.51519999999999999</v>
      </c>
    </row>
    <row r="16" spans="1:4" ht="22.5" customHeight="1">
      <c r="A16" s="23" t="s">
        <v>1293</v>
      </c>
      <c r="B16" s="21">
        <v>300000</v>
      </c>
      <c r="C16" s="21">
        <v>379314</v>
      </c>
      <c r="D16" s="52">
        <f t="shared" si="0"/>
        <v>1.2643800000000001</v>
      </c>
    </row>
    <row r="17" spans="1:4" ht="22.5" customHeight="1">
      <c r="A17" s="23" t="s">
        <v>1294</v>
      </c>
      <c r="B17" s="21">
        <v>300000</v>
      </c>
      <c r="C17" s="21">
        <v>375670</v>
      </c>
      <c r="D17" s="52">
        <f t="shared" si="0"/>
        <v>1.2522333333333333</v>
      </c>
    </row>
    <row r="18" spans="1:4" ht="22.5" customHeight="1">
      <c r="A18" s="23" t="s">
        <v>1295</v>
      </c>
      <c r="B18" s="21">
        <v>624000.08000000007</v>
      </c>
      <c r="C18" s="21">
        <v>348391</v>
      </c>
      <c r="D18" s="52">
        <f t="shared" si="0"/>
        <v>0.55831883867707188</v>
      </c>
    </row>
    <row r="19" spans="1:4" s="57" customFormat="1" ht="22.5" customHeight="1">
      <c r="A19" s="152" t="s">
        <v>1102</v>
      </c>
      <c r="B19" s="153">
        <f>B5+B8+B14</f>
        <v>2800000.4657999999</v>
      </c>
      <c r="C19" s="153">
        <v>3253576</v>
      </c>
      <c r="D19" s="56">
        <f t="shared" si="0"/>
        <v>1.1619912352658868</v>
      </c>
    </row>
    <row r="21" spans="1:4" ht="26.25" customHeight="1">
      <c r="A21" s="61"/>
    </row>
  </sheetData>
  <mergeCells count="1">
    <mergeCell ref="A2:D2"/>
  </mergeCells>
  <phoneticPr fontId="2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>
      <selection activeCell="G14" sqref="G14"/>
    </sheetView>
  </sheetViews>
  <sheetFormatPr defaultRowHeight="14.25"/>
  <cols>
    <col min="1" max="1" width="9" style="27"/>
    <col min="2" max="2" width="13.5" customWidth="1"/>
    <col min="3" max="4" width="19.125" customWidth="1"/>
    <col min="5" max="5" width="20.875" bestFit="1" customWidth="1"/>
  </cols>
  <sheetData>
    <row r="2" spans="1:7" ht="20.25">
      <c r="A2" s="689" t="s">
        <v>2154</v>
      </c>
      <c r="B2" s="689"/>
      <c r="C2" s="689"/>
      <c r="D2" s="689"/>
      <c r="E2" s="689"/>
    </row>
    <row r="3" spans="1:7" ht="26.25" customHeight="1">
      <c r="E3" s="645" t="s">
        <v>1317</v>
      </c>
    </row>
    <row r="4" spans="1:7" s="26" customFormat="1" ht="27" customHeight="1">
      <c r="A4" s="25" t="s">
        <v>1315</v>
      </c>
      <c r="B4" s="25" t="s">
        <v>1303</v>
      </c>
      <c r="C4" s="28" t="s">
        <v>1299</v>
      </c>
      <c r="D4" s="25" t="s">
        <v>1300</v>
      </c>
      <c r="E4" s="25" t="s">
        <v>1301</v>
      </c>
    </row>
    <row r="5" spans="1:7" ht="30" customHeight="1">
      <c r="A5" s="29">
        <v>1</v>
      </c>
      <c r="B5" s="24" t="s">
        <v>1304</v>
      </c>
      <c r="C5" s="31">
        <v>209030.42940000002</v>
      </c>
      <c r="D5" s="31">
        <v>250318.30371407772</v>
      </c>
      <c r="E5" s="34">
        <f>+D5/C5</f>
        <v>1.1975208797713817</v>
      </c>
      <c r="G5" s="37"/>
    </row>
    <row r="6" spans="1:7" ht="30" customHeight="1">
      <c r="A6" s="29">
        <v>2</v>
      </c>
      <c r="B6" s="24" t="s">
        <v>1305</v>
      </c>
      <c r="C6" s="31">
        <v>268239.80651860096</v>
      </c>
      <c r="D6" s="31">
        <v>316981.28168854705</v>
      </c>
      <c r="E6" s="34">
        <f t="shared" ref="E6:E16" si="0">+D6/C6</f>
        <v>1.181708583086702</v>
      </c>
      <c r="G6" s="37"/>
    </row>
    <row r="7" spans="1:7" ht="30" customHeight="1">
      <c r="A7" s="29">
        <v>3</v>
      </c>
      <c r="B7" s="24" t="s">
        <v>1306</v>
      </c>
      <c r="C7" s="31">
        <v>240152.80959524564</v>
      </c>
      <c r="D7" s="31">
        <v>280115.84069683996</v>
      </c>
      <c r="E7" s="34">
        <f t="shared" si="0"/>
        <v>1.1664066773524246</v>
      </c>
      <c r="G7" s="37"/>
    </row>
    <row r="8" spans="1:7" ht="30" customHeight="1">
      <c r="A8" s="29">
        <v>4</v>
      </c>
      <c r="B8" s="24" t="s">
        <v>1307</v>
      </c>
      <c r="C8" s="31">
        <v>63299.698700000001</v>
      </c>
      <c r="D8" s="31">
        <v>82837.248459083436</v>
      </c>
      <c r="E8" s="34">
        <f t="shared" si="0"/>
        <v>1.3086515443253355</v>
      </c>
      <c r="G8" s="37"/>
    </row>
    <row r="9" spans="1:7" ht="30" customHeight="1">
      <c r="A9" s="29">
        <v>5</v>
      </c>
      <c r="B9" s="24" t="s">
        <v>1308</v>
      </c>
      <c r="C9" s="31">
        <v>436072.93828309188</v>
      </c>
      <c r="D9" s="31">
        <v>650715.40600684378</v>
      </c>
      <c r="E9" s="34">
        <f t="shared" si="0"/>
        <v>1.49221689511127</v>
      </c>
      <c r="G9" s="37"/>
    </row>
    <row r="10" spans="1:7" ht="30" customHeight="1">
      <c r="A10" s="29">
        <v>6</v>
      </c>
      <c r="B10" s="24" t="s">
        <v>1309</v>
      </c>
      <c r="C10" s="31">
        <v>355702.66716880561</v>
      </c>
      <c r="D10" s="31">
        <v>892563.32862345944</v>
      </c>
      <c r="E10" s="34">
        <f t="shared" si="0"/>
        <v>2.5092961369330307</v>
      </c>
      <c r="G10" s="37"/>
    </row>
    <row r="11" spans="1:7" ht="30" customHeight="1">
      <c r="A11" s="29">
        <v>7</v>
      </c>
      <c r="B11" s="24" t="s">
        <v>1310</v>
      </c>
      <c r="C11" s="31">
        <v>69413.693393859881</v>
      </c>
      <c r="D11" s="31">
        <v>142998.31029357627</v>
      </c>
      <c r="E11" s="34">
        <f t="shared" si="0"/>
        <v>2.0600879063182864</v>
      </c>
      <c r="G11" s="37"/>
    </row>
    <row r="12" spans="1:7" ht="30" customHeight="1">
      <c r="A12" s="29">
        <v>8</v>
      </c>
      <c r="B12" s="24" t="s">
        <v>1311</v>
      </c>
      <c r="C12" s="31">
        <v>61089.55198801092</v>
      </c>
      <c r="D12" s="31">
        <v>150095.94725176145</v>
      </c>
      <c r="E12" s="34">
        <f t="shared" si="0"/>
        <v>2.4569822885788786</v>
      </c>
      <c r="G12" s="37"/>
    </row>
    <row r="13" spans="1:7" ht="30" customHeight="1">
      <c r="A13" s="29">
        <v>9</v>
      </c>
      <c r="B13" s="24" t="s">
        <v>1312</v>
      </c>
      <c r="C13" s="31">
        <v>160570.99093145129</v>
      </c>
      <c r="D13" s="31">
        <v>314488.46707965859</v>
      </c>
      <c r="E13" s="34">
        <f t="shared" si="0"/>
        <v>1.9585634070970863</v>
      </c>
      <c r="G13" s="37"/>
    </row>
    <row r="14" spans="1:7" ht="30" customHeight="1">
      <c r="A14" s="29">
        <v>10</v>
      </c>
      <c r="B14" s="24" t="s">
        <v>1313</v>
      </c>
      <c r="C14" s="31">
        <v>92329.753601938544</v>
      </c>
      <c r="D14" s="31">
        <v>172462.34983931374</v>
      </c>
      <c r="E14" s="34">
        <f t="shared" si="0"/>
        <v>1.8678957011284902</v>
      </c>
      <c r="G14" s="37"/>
    </row>
    <row r="15" spans="1:7" ht="30" customHeight="1">
      <c r="A15" s="29">
        <v>11</v>
      </c>
      <c r="B15" s="24" t="s">
        <v>1314</v>
      </c>
      <c r="C15" s="31">
        <v>844098.1262189952</v>
      </c>
      <c r="D15" s="31"/>
      <c r="E15" s="34"/>
    </row>
    <row r="16" spans="1:7" s="33" customFormat="1" ht="30" customHeight="1">
      <c r="A16" s="687" t="s">
        <v>1316</v>
      </c>
      <c r="B16" s="688"/>
      <c r="C16" s="35">
        <f>SUM(C5:C15)</f>
        <v>2800000.4657999999</v>
      </c>
      <c r="D16" s="35">
        <f>SUM(D5:D15)</f>
        <v>3253576.4836531617</v>
      </c>
      <c r="E16" s="36">
        <f t="shared" si="0"/>
        <v>1.16199140799913</v>
      </c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</sheetData>
  <mergeCells count="2">
    <mergeCell ref="A16:B16"/>
    <mergeCell ref="A2:E2"/>
  </mergeCells>
  <phoneticPr fontId="5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6"/>
  <sheetViews>
    <sheetView topLeftCell="A16" workbookViewId="0">
      <selection activeCell="E3" sqref="E3"/>
    </sheetView>
  </sheetViews>
  <sheetFormatPr defaultRowHeight="14.25"/>
  <cols>
    <col min="1" max="1" width="6" style="27" bestFit="1" customWidth="1"/>
    <col min="2" max="2" width="14.625" customWidth="1"/>
    <col min="3" max="4" width="16" customWidth="1"/>
    <col min="5" max="5" width="23.625" customWidth="1"/>
  </cols>
  <sheetData>
    <row r="2" spans="1:5" ht="22.5">
      <c r="B2" s="690" t="s">
        <v>2155</v>
      </c>
      <c r="C2" s="690"/>
      <c r="D2" s="690"/>
      <c r="E2" s="690"/>
    </row>
    <row r="3" spans="1:5">
      <c r="E3" s="644" t="s">
        <v>2157</v>
      </c>
    </row>
    <row r="4" spans="1:5" s="26" customFormat="1" ht="27" customHeight="1">
      <c r="A4" s="25" t="s">
        <v>1315</v>
      </c>
      <c r="B4" s="25" t="s">
        <v>1303</v>
      </c>
      <c r="C4" s="28" t="s">
        <v>1299</v>
      </c>
      <c r="D4" s="25" t="s">
        <v>1300</v>
      </c>
      <c r="E4" s="25" t="s">
        <v>1301</v>
      </c>
    </row>
    <row r="5" spans="1:5" ht="30" customHeight="1">
      <c r="A5" s="29">
        <v>1</v>
      </c>
      <c r="B5" s="24" t="s">
        <v>1304</v>
      </c>
      <c r="C5" s="31">
        <v>27675</v>
      </c>
      <c r="D5" s="31">
        <v>28005</v>
      </c>
      <c r="E5" s="34">
        <f>+D5/C5</f>
        <v>1.0119241192411925</v>
      </c>
    </row>
    <row r="6" spans="1:5" ht="30" customHeight="1">
      <c r="A6" s="29">
        <v>2</v>
      </c>
      <c r="B6" s="24" t="s">
        <v>1305</v>
      </c>
      <c r="C6" s="31">
        <v>56705</v>
      </c>
      <c r="D6" s="31">
        <v>58782</v>
      </c>
      <c r="E6" s="34">
        <f t="shared" ref="E6:E16" si="0">+D6/C6</f>
        <v>1.0366281633012961</v>
      </c>
    </row>
    <row r="7" spans="1:5" ht="30" customHeight="1">
      <c r="A7" s="29">
        <v>3</v>
      </c>
      <c r="B7" s="24" t="s">
        <v>1306</v>
      </c>
      <c r="C7" s="31">
        <v>72045</v>
      </c>
      <c r="D7" s="31">
        <v>71497</v>
      </c>
      <c r="E7" s="34">
        <f t="shared" si="0"/>
        <v>0.99239364286210008</v>
      </c>
    </row>
    <row r="8" spans="1:5" ht="30" customHeight="1">
      <c r="A8" s="29">
        <v>4</v>
      </c>
      <c r="B8" s="24" t="s">
        <v>1307</v>
      </c>
      <c r="C8" s="31">
        <v>21216</v>
      </c>
      <c r="D8" s="31">
        <v>21503</v>
      </c>
      <c r="E8" s="34">
        <f t="shared" si="0"/>
        <v>1.0135275263951735</v>
      </c>
    </row>
    <row r="9" spans="1:5" ht="30" customHeight="1">
      <c r="A9" s="29">
        <v>5</v>
      </c>
      <c r="B9" s="24" t="s">
        <v>1308</v>
      </c>
      <c r="C9" s="31">
        <v>61568</v>
      </c>
      <c r="D9" s="31">
        <v>63281</v>
      </c>
      <c r="E9" s="34">
        <f t="shared" si="0"/>
        <v>1.0278228950103949</v>
      </c>
    </row>
    <row r="10" spans="1:5" ht="30" customHeight="1">
      <c r="A10" s="29">
        <v>6</v>
      </c>
      <c r="B10" s="24" t="s">
        <v>1309</v>
      </c>
      <c r="C10" s="31">
        <v>65820</v>
      </c>
      <c r="D10" s="31">
        <v>64743</v>
      </c>
      <c r="E10" s="34">
        <f t="shared" si="0"/>
        <v>0.98363719234275293</v>
      </c>
    </row>
    <row r="11" spans="1:5" ht="30" customHeight="1">
      <c r="A11" s="29">
        <v>7</v>
      </c>
      <c r="B11" s="24" t="s">
        <v>1310</v>
      </c>
      <c r="C11" s="31">
        <v>9839</v>
      </c>
      <c r="D11" s="31">
        <v>10254</v>
      </c>
      <c r="E11" s="34">
        <f t="shared" si="0"/>
        <v>1.0421790832401667</v>
      </c>
    </row>
    <row r="12" spans="1:5" ht="30" customHeight="1">
      <c r="A12" s="29">
        <v>8</v>
      </c>
      <c r="B12" s="24" t="s">
        <v>1311</v>
      </c>
      <c r="C12" s="31">
        <v>12180</v>
      </c>
      <c r="D12" s="31">
        <v>11948</v>
      </c>
      <c r="E12" s="34">
        <f t="shared" si="0"/>
        <v>0.98095238095238091</v>
      </c>
    </row>
    <row r="13" spans="1:5" ht="30" customHeight="1">
      <c r="A13" s="29">
        <v>9</v>
      </c>
      <c r="B13" s="24" t="s">
        <v>1312</v>
      </c>
      <c r="C13" s="31">
        <v>49808</v>
      </c>
      <c r="D13" s="31">
        <v>49773</v>
      </c>
      <c r="E13" s="34">
        <f t="shared" si="0"/>
        <v>0.999297301638291</v>
      </c>
    </row>
    <row r="14" spans="1:5" ht="30" customHeight="1">
      <c r="A14" s="29">
        <v>10</v>
      </c>
      <c r="B14" s="24" t="s">
        <v>1313</v>
      </c>
      <c r="C14" s="31">
        <v>11514</v>
      </c>
      <c r="D14" s="31">
        <v>11559</v>
      </c>
      <c r="E14" s="34">
        <f t="shared" si="0"/>
        <v>1.0039082855653987</v>
      </c>
    </row>
    <row r="15" spans="1:5" ht="30" customHeight="1">
      <c r="A15" s="29">
        <v>11</v>
      </c>
      <c r="B15" s="24" t="s">
        <v>1314</v>
      </c>
      <c r="C15" s="31">
        <v>39769</v>
      </c>
      <c r="D15" s="31">
        <v>0</v>
      </c>
      <c r="E15" s="34">
        <f t="shared" si="0"/>
        <v>0</v>
      </c>
    </row>
    <row r="16" spans="1:5" s="33" customFormat="1" ht="30" customHeight="1">
      <c r="A16" s="687" t="s">
        <v>1316</v>
      </c>
      <c r="B16" s="688"/>
      <c r="C16" s="35">
        <f>SUM(C5:C15)</f>
        <v>428139</v>
      </c>
      <c r="D16" s="35">
        <f>SUM(D5:D15)</f>
        <v>391345</v>
      </c>
      <c r="E16" s="36">
        <f t="shared" si="0"/>
        <v>0.91406062049941728</v>
      </c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</sheetData>
  <mergeCells count="2">
    <mergeCell ref="B2:E2"/>
    <mergeCell ref="A16:B16"/>
  </mergeCells>
  <phoneticPr fontId="5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4"/>
  <sheetViews>
    <sheetView workbookViewId="0">
      <selection activeCell="E3" sqref="E3"/>
    </sheetView>
  </sheetViews>
  <sheetFormatPr defaultRowHeight="14.25"/>
  <cols>
    <col min="1" max="1" width="6" style="13" bestFit="1" customWidth="1"/>
    <col min="2" max="2" width="16.75" style="10" customWidth="1"/>
    <col min="3" max="4" width="17.125" style="10" customWidth="1"/>
    <col min="5" max="5" width="23.625" style="10" customWidth="1"/>
    <col min="6" max="16384" width="9" style="10"/>
  </cols>
  <sheetData>
    <row r="2" spans="1:5" ht="22.5">
      <c r="A2" s="693" t="s">
        <v>2156</v>
      </c>
      <c r="B2" s="693"/>
      <c r="C2" s="693"/>
      <c r="D2" s="693"/>
      <c r="E2" s="693"/>
    </row>
    <row r="3" spans="1:5" ht="30" customHeight="1">
      <c r="E3" s="644" t="s">
        <v>2157</v>
      </c>
    </row>
    <row r="4" spans="1:5" s="58" customFormat="1" ht="27" customHeight="1">
      <c r="A4" s="47" t="s">
        <v>1315</v>
      </c>
      <c r="B4" s="47" t="s">
        <v>1303</v>
      </c>
      <c r="C4" s="28" t="s">
        <v>1299</v>
      </c>
      <c r="D4" s="47" t="s">
        <v>1300</v>
      </c>
      <c r="E4" s="47" t="s">
        <v>1301</v>
      </c>
    </row>
    <row r="5" spans="1:5" ht="30" customHeight="1">
      <c r="A5" s="48">
        <v>1</v>
      </c>
      <c r="B5" s="59" t="s">
        <v>1304</v>
      </c>
      <c r="C5" s="50">
        <v>75376.849400000006</v>
      </c>
      <c r="D5" s="50">
        <v>119179.30371407772</v>
      </c>
      <c r="E5" s="52">
        <f>+D5/C5</f>
        <v>1.5811128305672817</v>
      </c>
    </row>
    <row r="6" spans="1:5" ht="30" customHeight="1">
      <c r="A6" s="48">
        <v>2</v>
      </c>
      <c r="B6" s="59" t="s">
        <v>1305</v>
      </c>
      <c r="C6" s="50">
        <v>75702.452399999995</v>
      </c>
      <c r="D6" s="50">
        <v>139112.28168854705</v>
      </c>
      <c r="E6" s="52">
        <f t="shared" ref="E6:E16" si="0">+D6/C6</f>
        <v>1.8376192220761802</v>
      </c>
    </row>
    <row r="7" spans="1:5" ht="30" customHeight="1">
      <c r="A7" s="48">
        <v>3</v>
      </c>
      <c r="B7" s="59" t="s">
        <v>1306</v>
      </c>
      <c r="C7" s="50">
        <v>44134.736599999997</v>
      </c>
      <c r="D7" s="50">
        <v>96163.840696839965</v>
      </c>
      <c r="E7" s="52">
        <f t="shared" si="0"/>
        <v>2.1788697090998381</v>
      </c>
    </row>
    <row r="8" spans="1:5" ht="30" customHeight="1">
      <c r="A8" s="48">
        <v>4</v>
      </c>
      <c r="B8" s="59" t="s">
        <v>1307</v>
      </c>
      <c r="C8" s="50">
        <v>13878.938700000001</v>
      </c>
      <c r="D8" s="50">
        <v>23931.248459083436</v>
      </c>
      <c r="E8" s="52">
        <f t="shared" si="0"/>
        <v>1.724285190414699</v>
      </c>
    </row>
    <row r="9" spans="1:5" ht="30" customHeight="1">
      <c r="A9" s="48">
        <v>5</v>
      </c>
      <c r="B9" s="59" t="s">
        <v>1308</v>
      </c>
      <c r="C9" s="50">
        <v>89601.730704129004</v>
      </c>
      <c r="D9" s="50">
        <v>247642.40600684378</v>
      </c>
      <c r="E9" s="52">
        <f t="shared" si="0"/>
        <v>2.7638127529542462</v>
      </c>
    </row>
    <row r="10" spans="1:5" ht="30" customHeight="1">
      <c r="A10" s="48">
        <v>6</v>
      </c>
      <c r="B10" s="59" t="s">
        <v>1309</v>
      </c>
      <c r="C10" s="50">
        <v>21219.621107551753</v>
      </c>
      <c r="D10" s="50">
        <v>160148.32862345944</v>
      </c>
      <c r="E10" s="52">
        <f t="shared" si="0"/>
        <v>7.5471813474777356</v>
      </c>
    </row>
    <row r="11" spans="1:5" ht="30" customHeight="1">
      <c r="A11" s="48">
        <v>7</v>
      </c>
      <c r="B11" s="59" t="s">
        <v>1310</v>
      </c>
      <c r="C11" s="50">
        <v>13791.073199999999</v>
      </c>
      <c r="D11" s="50">
        <v>40264.310293576273</v>
      </c>
      <c r="E11" s="52">
        <f t="shared" si="0"/>
        <v>2.9195922398248366</v>
      </c>
    </row>
    <row r="12" spans="1:5" ht="30" customHeight="1">
      <c r="A12" s="48">
        <v>8</v>
      </c>
      <c r="B12" s="59" t="s">
        <v>1311</v>
      </c>
      <c r="C12" s="50">
        <v>16785.567900000002</v>
      </c>
      <c r="D12" s="50">
        <v>38739.947251761449</v>
      </c>
      <c r="E12" s="52">
        <f t="shared" si="0"/>
        <v>2.3079318782989429</v>
      </c>
    </row>
    <row r="13" spans="1:5" ht="30" customHeight="1">
      <c r="A13" s="48">
        <v>9</v>
      </c>
      <c r="B13" s="59" t="s">
        <v>1312</v>
      </c>
      <c r="C13" s="50">
        <v>16452.434695871001</v>
      </c>
      <c r="D13" s="50">
        <v>69923.467079658585</v>
      </c>
      <c r="E13" s="52">
        <f t="shared" si="0"/>
        <v>4.250037661429344</v>
      </c>
    </row>
    <row r="14" spans="1:5" ht="30" customHeight="1">
      <c r="A14" s="48">
        <v>10</v>
      </c>
      <c r="B14" s="59" t="s">
        <v>1313</v>
      </c>
      <c r="C14" s="50">
        <v>70166.061092448261</v>
      </c>
      <c r="D14" s="50">
        <v>69731.349839313742</v>
      </c>
      <c r="E14" s="52">
        <f t="shared" si="0"/>
        <v>0.99380453674659375</v>
      </c>
    </row>
    <row r="15" spans="1:5" ht="30" customHeight="1">
      <c r="A15" s="48">
        <v>11</v>
      </c>
      <c r="B15" s="59" t="s">
        <v>1314</v>
      </c>
      <c r="C15" s="50">
        <v>441803</v>
      </c>
      <c r="D15" s="50">
        <v>0</v>
      </c>
      <c r="E15" s="52">
        <f t="shared" si="0"/>
        <v>0</v>
      </c>
    </row>
    <row r="16" spans="1:5" s="57" customFormat="1" ht="30" customHeight="1">
      <c r="A16" s="691" t="s">
        <v>1316</v>
      </c>
      <c r="B16" s="692"/>
      <c r="C16" s="60">
        <f>SUM(C5:C15)</f>
        <v>878912.46580000001</v>
      </c>
      <c r="D16" s="60">
        <f>SUM(D5:D15)</f>
        <v>1004836.4836531616</v>
      </c>
      <c r="E16" s="56">
        <f t="shared" si="0"/>
        <v>1.1432725359499181</v>
      </c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</sheetData>
  <mergeCells count="2">
    <mergeCell ref="A16:B16"/>
    <mergeCell ref="A2:E2"/>
  </mergeCells>
  <phoneticPr fontId="59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6"/>
  <sheetViews>
    <sheetView zoomScale="85" zoomScaleNormal="85" workbookViewId="0">
      <selection activeCell="B3" sqref="B3"/>
    </sheetView>
  </sheetViews>
  <sheetFormatPr defaultRowHeight="14.25"/>
  <cols>
    <col min="1" max="1" width="9" style="27"/>
    <col min="2" max="2" width="13.5" style="27" customWidth="1"/>
    <col min="3" max="4" width="20" customWidth="1"/>
    <col min="5" max="5" width="21.75" customWidth="1"/>
  </cols>
  <sheetData>
    <row r="2" spans="1:5" ht="22.5">
      <c r="B2" s="690" t="s">
        <v>2158</v>
      </c>
      <c r="C2" s="690"/>
      <c r="D2" s="690"/>
      <c r="E2" s="690"/>
    </row>
    <row r="3" spans="1:5" ht="33" customHeight="1">
      <c r="E3" s="644" t="s">
        <v>2157</v>
      </c>
    </row>
    <row r="4" spans="1:5" s="26" customFormat="1" ht="52.5" customHeight="1">
      <c r="A4" s="25" t="s">
        <v>1315</v>
      </c>
      <c r="B4" s="25" t="s">
        <v>1303</v>
      </c>
      <c r="C4" s="28" t="s">
        <v>1299</v>
      </c>
      <c r="D4" s="25" t="s">
        <v>1300</v>
      </c>
      <c r="E4" s="25" t="s">
        <v>1301</v>
      </c>
    </row>
    <row r="5" spans="1:5" ht="39.75" customHeight="1">
      <c r="A5" s="29">
        <v>1</v>
      </c>
      <c r="B5" s="30" t="s">
        <v>1304</v>
      </c>
      <c r="C5" s="31">
        <v>105978.58</v>
      </c>
      <c r="D5" s="31">
        <v>103134</v>
      </c>
      <c r="E5" s="34">
        <f>+D5/C5</f>
        <v>0.97315891569787027</v>
      </c>
    </row>
    <row r="6" spans="1:5" ht="39.75" customHeight="1">
      <c r="A6" s="29">
        <v>2</v>
      </c>
      <c r="B6" s="30" t="s">
        <v>1305</v>
      </c>
      <c r="C6" s="31">
        <v>135832.35411860095</v>
      </c>
      <c r="D6" s="31">
        <v>119087</v>
      </c>
      <c r="E6" s="34">
        <f t="shared" ref="E6:E16" si="0">+D6/C6</f>
        <v>0.87672043065689731</v>
      </c>
    </row>
    <row r="7" spans="1:5" ht="39.75" customHeight="1">
      <c r="A7" s="29">
        <v>3</v>
      </c>
      <c r="B7" s="30" t="s">
        <v>1306</v>
      </c>
      <c r="C7" s="31">
        <v>123973.07299524565</v>
      </c>
      <c r="D7" s="31">
        <v>112455</v>
      </c>
      <c r="E7" s="34">
        <f t="shared" si="0"/>
        <v>0.90709213930925658</v>
      </c>
    </row>
    <row r="8" spans="1:5" ht="39.75" customHeight="1">
      <c r="A8" s="29">
        <v>4</v>
      </c>
      <c r="B8" s="30" t="s">
        <v>1307</v>
      </c>
      <c r="C8" s="31">
        <v>28204.760000000002</v>
      </c>
      <c r="D8" s="31">
        <v>37403</v>
      </c>
      <c r="E8" s="34">
        <f t="shared" si="0"/>
        <v>1.3261236755781647</v>
      </c>
    </row>
    <row r="9" spans="1:5" ht="39.75" customHeight="1">
      <c r="A9" s="29">
        <v>5</v>
      </c>
      <c r="B9" s="30" t="s">
        <v>1308</v>
      </c>
      <c r="C9" s="31">
        <v>284903.2075789629</v>
      </c>
      <c r="D9" s="31">
        <v>339792</v>
      </c>
      <c r="E9" s="34">
        <f t="shared" si="0"/>
        <v>1.1926576849992967</v>
      </c>
    </row>
    <row r="10" spans="1:5" ht="39.75" customHeight="1">
      <c r="A10" s="29">
        <v>6</v>
      </c>
      <c r="B10" s="30" t="s">
        <v>1309</v>
      </c>
      <c r="C10" s="31">
        <v>268663.04606125387</v>
      </c>
      <c r="D10" s="31">
        <v>667672</v>
      </c>
      <c r="E10" s="34">
        <f t="shared" si="0"/>
        <v>2.4851650042253075</v>
      </c>
    </row>
    <row r="11" spans="1:5" ht="39.75" customHeight="1">
      <c r="A11" s="29">
        <v>7</v>
      </c>
      <c r="B11" s="30" t="s">
        <v>1310</v>
      </c>
      <c r="C11" s="31">
        <v>45783.620193859882</v>
      </c>
      <c r="D11" s="31">
        <v>92480</v>
      </c>
      <c r="E11" s="34">
        <f t="shared" si="0"/>
        <v>2.0199363791769933</v>
      </c>
    </row>
    <row r="12" spans="1:5" ht="39.75" customHeight="1">
      <c r="A12" s="29">
        <v>8</v>
      </c>
      <c r="B12" s="30" t="s">
        <v>1311</v>
      </c>
      <c r="C12" s="31">
        <v>32123.984088010915</v>
      </c>
      <c r="D12" s="31">
        <v>99408</v>
      </c>
      <c r="E12" s="34">
        <f t="shared" si="0"/>
        <v>3.094510311287956</v>
      </c>
    </row>
    <row r="13" spans="1:5" ht="39.75" customHeight="1">
      <c r="A13" s="29">
        <v>9</v>
      </c>
      <c r="B13" s="30" t="s">
        <v>1312</v>
      </c>
      <c r="C13" s="31">
        <v>94310.556235580298</v>
      </c>
      <c r="D13" s="31">
        <v>194792</v>
      </c>
      <c r="E13" s="34">
        <f t="shared" si="0"/>
        <v>2.0654315675270225</v>
      </c>
    </row>
    <row r="14" spans="1:5" ht="39.75" customHeight="1">
      <c r="A14" s="29">
        <v>10</v>
      </c>
      <c r="B14" s="30" t="s">
        <v>1313</v>
      </c>
      <c r="C14" s="31">
        <v>10649.692509490289</v>
      </c>
      <c r="D14" s="31">
        <v>91172</v>
      </c>
      <c r="E14" s="34">
        <f t="shared" si="0"/>
        <v>8.5609983498353266</v>
      </c>
    </row>
    <row r="15" spans="1:5" ht="39.75" customHeight="1">
      <c r="A15" s="29">
        <v>11</v>
      </c>
      <c r="B15" s="30" t="s">
        <v>1314</v>
      </c>
      <c r="C15" s="31">
        <v>362526.1262189952</v>
      </c>
      <c r="D15" s="31">
        <v>0</v>
      </c>
      <c r="E15" s="34">
        <f t="shared" si="0"/>
        <v>0</v>
      </c>
    </row>
    <row r="16" spans="1:5" s="33" customFormat="1" ht="39.75" customHeight="1">
      <c r="A16" s="694" t="s">
        <v>1316</v>
      </c>
      <c r="B16" s="694"/>
      <c r="C16" s="32">
        <f>SUM(C5:C15)</f>
        <v>1492949</v>
      </c>
      <c r="D16" s="32">
        <f>SUM(D5:D15)</f>
        <v>1857395</v>
      </c>
      <c r="E16" s="36">
        <f t="shared" si="0"/>
        <v>1.2441114867286156</v>
      </c>
    </row>
    <row r="17" ht="39.7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</sheetData>
  <mergeCells count="2">
    <mergeCell ref="B2:E2"/>
    <mergeCell ref="A16:B16"/>
  </mergeCells>
  <phoneticPr fontId="59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45</vt:i4>
      </vt:variant>
      <vt:variant>
        <vt:lpstr>命名范围</vt:lpstr>
      </vt:variant>
      <vt:variant>
        <vt:i4>13</vt:i4>
      </vt:variant>
    </vt:vector>
  </HeadingPairs>
  <TitlesOfParts>
    <vt:vector size="58" baseType="lpstr">
      <vt:lpstr>第一部分</vt:lpstr>
      <vt:lpstr>01.（全市）一般公共预算 </vt:lpstr>
      <vt:lpstr>02.（本级）一般公共预算</vt:lpstr>
      <vt:lpstr>03.经济分类表</vt:lpstr>
      <vt:lpstr>04.本级对各区税收返还和转移支付情况表</vt:lpstr>
      <vt:lpstr>05.本级对各区税收返还和专项转移支付分区情况表</vt:lpstr>
      <vt:lpstr>06.本级对各区税收返还分区情况表 </vt:lpstr>
      <vt:lpstr>07.本级对各区一般性转移支付分区情况表</vt:lpstr>
      <vt:lpstr>08.本级对各区专项转移支付分区情况表</vt:lpstr>
      <vt:lpstr>09.债务余额</vt:lpstr>
      <vt:lpstr>第二部分</vt:lpstr>
      <vt:lpstr>10.（本级）政府性基金</vt:lpstr>
      <vt:lpstr>11.政府性基金对区转移支付表</vt:lpstr>
      <vt:lpstr>12.国土基金对区转移支付表 </vt:lpstr>
      <vt:lpstr>第三部分</vt:lpstr>
      <vt:lpstr>13.国资预算</vt:lpstr>
      <vt:lpstr>14.国资预算明细表</vt:lpstr>
      <vt:lpstr>第四部分</vt:lpstr>
      <vt:lpstr>15.目录</vt:lpstr>
      <vt:lpstr>16.资产负债表</vt:lpstr>
      <vt:lpstr>17.职工养老</vt:lpstr>
      <vt:lpstr>18.机关养老</vt:lpstr>
      <vt:lpstr>19.居民养老</vt:lpstr>
      <vt:lpstr>20.职工医疗</vt:lpstr>
      <vt:lpstr>21.城乡居民医疗</vt:lpstr>
      <vt:lpstr>22.新农合</vt:lpstr>
      <vt:lpstr>23.城镇居民医疗</vt:lpstr>
      <vt:lpstr>24.工伤</vt:lpstr>
      <vt:lpstr>25.失业</vt:lpstr>
      <vt:lpstr>26.生育</vt:lpstr>
      <vt:lpstr>27.财政专户资负表</vt:lpstr>
      <vt:lpstr>28.财政专户收支表</vt:lpstr>
      <vt:lpstr>29.财政补助资金表</vt:lpstr>
      <vt:lpstr>30.基本养老补充资料表</vt:lpstr>
      <vt:lpstr>31.职工医疗工伤生育补充资料表</vt:lpstr>
      <vt:lpstr>32.居民医疗补充资料表</vt:lpstr>
      <vt:lpstr>33.失业补充资料表</vt:lpstr>
      <vt:lpstr>34.其他养老保险表</vt:lpstr>
      <vt:lpstr>35.其他医疗保障表</vt:lpstr>
      <vt:lpstr>36.自有目录</vt:lpstr>
      <vt:lpstr>37.自有资负表</vt:lpstr>
      <vt:lpstr>38.机关养老 (2)</vt:lpstr>
      <vt:lpstr>39.地补养老</vt:lpstr>
      <vt:lpstr>40.地补医疗</vt:lpstr>
      <vt:lpstr>41.自有基础资料表</vt:lpstr>
      <vt:lpstr>'01.（全市）一般公共预算 '!Print_Area</vt:lpstr>
      <vt:lpstr>'02.（本级）一般公共预算'!Print_Area</vt:lpstr>
      <vt:lpstr>'03.经济分类表'!Print_Area</vt:lpstr>
      <vt:lpstr>'05.本级对各区税收返还和专项转移支付分区情况表'!Print_Area</vt:lpstr>
      <vt:lpstr>'09.债务余额'!Print_Area</vt:lpstr>
      <vt:lpstr>'10.（本级）政府性基金'!Print_Area</vt:lpstr>
      <vt:lpstr>'13.国资预算'!Print_Area</vt:lpstr>
      <vt:lpstr>'14.国资预算明细表'!Print_Area</vt:lpstr>
      <vt:lpstr>'01.（全市）一般公共预算 '!Print_Titles</vt:lpstr>
      <vt:lpstr>'02.（本级）一般公共预算'!Print_Titles</vt:lpstr>
      <vt:lpstr>'03.经济分类表'!Print_Titles</vt:lpstr>
      <vt:lpstr>'10.（本级）政府性基金'!Print_Titles</vt:lpstr>
      <vt:lpstr>'14.国资预算明细表'!Print_Titles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刘宝平</dc:creator>
  <cp:lastModifiedBy>崔璐</cp:lastModifiedBy>
  <cp:lastPrinted>2016-07-30T13:45:14Z</cp:lastPrinted>
  <dcterms:created xsi:type="dcterms:W3CDTF">2015-07-15T11:57:53Z</dcterms:created>
  <dcterms:modified xsi:type="dcterms:W3CDTF">2016-09-01T06:38:39Z</dcterms:modified>
</cp:coreProperties>
</file>